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legromicro.sharepoint.com/sites/818151Notebook/Shared Documents/Systems/Design Tools/"/>
    </mc:Choice>
  </mc:AlternateContent>
  <xr:revisionPtr revIDLastSave="396" documentId="6_{1F0E7A7E-7CB6-4F43-8AC4-2AF52E5A404B}" xr6:coauthVersionLast="47" xr6:coauthVersionMax="47" xr10:uidLastSave="{7F068586-211C-4450-8888-6CD0D1A3F350}"/>
  <bookViews>
    <workbookView xWindow="-108" yWindow="-108" windowWidth="23256" windowHeight="12456" xr2:uid="{0310E876-3C3B-4C23-B40C-13FD1090790E}"/>
  </bookViews>
  <sheets>
    <sheet name="Calculator" sheetId="1" r:id="rId1"/>
    <sheet name="Parameters" sheetId="2" r:id="rId2"/>
    <sheet name="LoopGain" sheetId="3" r:id="rId3"/>
  </sheets>
  <definedNames>
    <definedName name="reset">Calculator!#REF!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3" l="1"/>
  <c r="E27" i="3"/>
  <c r="F27" i="3"/>
  <c r="D28" i="3"/>
  <c r="E28" i="3"/>
  <c r="F28" i="3"/>
  <c r="D29" i="3"/>
  <c r="E29" i="3"/>
  <c r="F29" i="3"/>
  <c r="D30" i="3"/>
  <c r="E30" i="3"/>
  <c r="F30" i="3"/>
  <c r="D31" i="3"/>
  <c r="E31" i="3"/>
  <c r="F31" i="3"/>
  <c r="D32" i="3"/>
  <c r="E32" i="3"/>
  <c r="F32" i="3"/>
  <c r="D33" i="3"/>
  <c r="E33" i="3"/>
  <c r="F33" i="3"/>
  <c r="D34" i="3"/>
  <c r="E34" i="3"/>
  <c r="F34" i="3"/>
  <c r="D35" i="3"/>
  <c r="E35" i="3"/>
  <c r="F35" i="3"/>
  <c r="D36" i="3"/>
  <c r="E36" i="3"/>
  <c r="F36" i="3"/>
  <c r="D37" i="3"/>
  <c r="E37" i="3"/>
  <c r="F37" i="3"/>
  <c r="D38" i="3"/>
  <c r="E38" i="3"/>
  <c r="F38" i="3"/>
  <c r="D39" i="3"/>
  <c r="E39" i="3"/>
  <c r="F39" i="3"/>
  <c r="D40" i="3"/>
  <c r="E40" i="3"/>
  <c r="F40" i="3"/>
  <c r="D41" i="3"/>
  <c r="E41" i="3"/>
  <c r="F41" i="3"/>
  <c r="D42" i="3"/>
  <c r="E42" i="3"/>
  <c r="F42" i="3"/>
  <c r="D43" i="3"/>
  <c r="E43" i="3"/>
  <c r="F43" i="3"/>
  <c r="D44" i="3"/>
  <c r="E44" i="3"/>
  <c r="F44" i="3"/>
  <c r="D45" i="3"/>
  <c r="E45" i="3"/>
  <c r="F45" i="3"/>
  <c r="D46" i="3"/>
  <c r="E46" i="3"/>
  <c r="F46" i="3"/>
  <c r="D47" i="3"/>
  <c r="E47" i="3"/>
  <c r="F47" i="3"/>
  <c r="D48" i="3"/>
  <c r="E48" i="3"/>
  <c r="F48" i="3"/>
  <c r="D49" i="3"/>
  <c r="E49" i="3"/>
  <c r="F49" i="3"/>
  <c r="D50" i="3"/>
  <c r="E50" i="3"/>
  <c r="F50" i="3"/>
  <c r="D51" i="3"/>
  <c r="E51" i="3"/>
  <c r="F51" i="3"/>
  <c r="D52" i="3"/>
  <c r="E52" i="3"/>
  <c r="F52" i="3"/>
  <c r="D53" i="3"/>
  <c r="E53" i="3"/>
  <c r="F53" i="3"/>
  <c r="D54" i="3"/>
  <c r="E54" i="3"/>
  <c r="F54" i="3"/>
  <c r="D55" i="3"/>
  <c r="E55" i="3"/>
  <c r="F55" i="3"/>
  <c r="D56" i="3"/>
  <c r="E56" i="3"/>
  <c r="F56" i="3"/>
  <c r="D57" i="3"/>
  <c r="E57" i="3"/>
  <c r="F57" i="3"/>
  <c r="D58" i="3"/>
  <c r="E58" i="3"/>
  <c r="F58" i="3"/>
  <c r="D59" i="3"/>
  <c r="E59" i="3"/>
  <c r="F59" i="3"/>
  <c r="D60" i="3"/>
  <c r="E60" i="3"/>
  <c r="F60" i="3"/>
  <c r="D61" i="3"/>
  <c r="E61" i="3"/>
  <c r="F61" i="3"/>
  <c r="D62" i="3"/>
  <c r="E62" i="3"/>
  <c r="F62" i="3"/>
  <c r="D63" i="3"/>
  <c r="E63" i="3"/>
  <c r="F63" i="3"/>
  <c r="D64" i="3"/>
  <c r="E64" i="3"/>
  <c r="F64" i="3"/>
  <c r="D65" i="3"/>
  <c r="E65" i="3"/>
  <c r="F65" i="3"/>
  <c r="D66" i="3"/>
  <c r="E66" i="3"/>
  <c r="F66" i="3"/>
  <c r="D3" i="3"/>
  <c r="E3" i="3"/>
  <c r="F3" i="3"/>
  <c r="D4" i="3"/>
  <c r="E4" i="3"/>
  <c r="F4" i="3"/>
  <c r="D5" i="3"/>
  <c r="E5" i="3"/>
  <c r="F5" i="3"/>
  <c r="D6" i="3"/>
  <c r="E6" i="3"/>
  <c r="F6" i="3"/>
  <c r="D7" i="3"/>
  <c r="E7" i="3"/>
  <c r="F7" i="3"/>
  <c r="D8" i="3"/>
  <c r="E8" i="3"/>
  <c r="F8" i="3"/>
  <c r="D9" i="3"/>
  <c r="E9" i="3"/>
  <c r="F9" i="3"/>
  <c r="D10" i="3"/>
  <c r="E10" i="3"/>
  <c r="F10" i="3"/>
  <c r="D11" i="3"/>
  <c r="E11" i="3"/>
  <c r="F11" i="3"/>
  <c r="D12" i="3"/>
  <c r="E12" i="3"/>
  <c r="F12" i="3"/>
  <c r="D13" i="3"/>
  <c r="E13" i="3"/>
  <c r="F13" i="3"/>
  <c r="D14" i="3"/>
  <c r="E14" i="3"/>
  <c r="F14" i="3"/>
  <c r="D15" i="3"/>
  <c r="E15" i="3"/>
  <c r="F15" i="3"/>
  <c r="D16" i="3"/>
  <c r="E16" i="3"/>
  <c r="F16" i="3"/>
  <c r="D17" i="3"/>
  <c r="E17" i="3"/>
  <c r="F17" i="3"/>
  <c r="D18" i="3"/>
  <c r="E18" i="3"/>
  <c r="F18" i="3"/>
  <c r="D19" i="3"/>
  <c r="E19" i="3"/>
  <c r="F19" i="3"/>
  <c r="D20" i="3"/>
  <c r="E20" i="3"/>
  <c r="F20" i="3"/>
  <c r="D21" i="3"/>
  <c r="E21" i="3"/>
  <c r="F21" i="3"/>
  <c r="D22" i="3"/>
  <c r="E22" i="3"/>
  <c r="F22" i="3"/>
  <c r="D23" i="3"/>
  <c r="E23" i="3"/>
  <c r="F23" i="3"/>
  <c r="D24" i="3"/>
  <c r="E24" i="3"/>
  <c r="F24" i="3"/>
  <c r="D25" i="3"/>
  <c r="E25" i="3"/>
  <c r="F25" i="3"/>
  <c r="D26" i="3" l="1"/>
  <c r="E26" i="3"/>
  <c r="F26" i="3"/>
  <c r="D2" i="3"/>
  <c r="E2" i="3"/>
  <c r="F2" i="3"/>
  <c r="C36" i="1"/>
  <c r="D26" i="1"/>
  <c r="C31" i="1"/>
  <c r="C33" i="1"/>
  <c r="C23" i="1"/>
  <c r="C21" i="1"/>
  <c r="C28" i="1"/>
  <c r="B27" i="3" l="1"/>
  <c r="B35" i="3"/>
  <c r="B46" i="3"/>
  <c r="B54" i="3"/>
  <c r="B62" i="3"/>
  <c r="B23" i="3"/>
  <c r="B41" i="3"/>
  <c r="B4" i="3"/>
  <c r="B12" i="3"/>
  <c r="B16" i="3"/>
  <c r="B33" i="3"/>
  <c r="B52" i="3"/>
  <c r="B60" i="3"/>
  <c r="B28" i="3"/>
  <c r="B36" i="3"/>
  <c r="B14" i="3"/>
  <c r="B29" i="3"/>
  <c r="B37" i="3"/>
  <c r="B43" i="3"/>
  <c r="B51" i="3"/>
  <c r="B59" i="3"/>
  <c r="B3" i="3"/>
  <c r="B11" i="3"/>
  <c r="B15" i="3"/>
  <c r="B19" i="3"/>
  <c r="B30" i="3"/>
  <c r="B38" i="3"/>
  <c r="B49" i="3"/>
  <c r="B57" i="3"/>
  <c r="B65" i="3"/>
  <c r="B8" i="3"/>
  <c r="B20" i="3"/>
  <c r="B44" i="3"/>
  <c r="B24" i="3"/>
  <c r="B6" i="3"/>
  <c r="B40" i="3"/>
  <c r="B48" i="3"/>
  <c r="B32" i="3"/>
  <c r="B47" i="3"/>
  <c r="B55" i="3"/>
  <c r="B63" i="3"/>
  <c r="B5" i="3"/>
  <c r="B9" i="3"/>
  <c r="B13" i="3"/>
  <c r="B17" i="3"/>
  <c r="B21" i="3"/>
  <c r="B31" i="3"/>
  <c r="B39" i="3"/>
  <c r="B42" i="3"/>
  <c r="B50" i="3"/>
  <c r="B58" i="3"/>
  <c r="B66" i="3"/>
  <c r="B25" i="3"/>
  <c r="B34" i="3"/>
  <c r="B45" i="3"/>
  <c r="B53" i="3"/>
  <c r="B61" i="3"/>
  <c r="B10" i="3"/>
  <c r="B18" i="3"/>
  <c r="B56" i="3"/>
  <c r="B64" i="3"/>
  <c r="B22" i="3"/>
  <c r="B7" i="3"/>
  <c r="B26" i="3"/>
  <c r="B2" i="3"/>
  <c r="C46" i="1"/>
  <c r="C48" i="1" s="1"/>
  <c r="C39" i="1" s="1"/>
  <c r="D53" i="1"/>
  <c r="C53" i="1"/>
  <c r="D46" i="1"/>
  <c r="D48" i="1" s="1"/>
  <c r="D39" i="1" s="1"/>
  <c r="D40" i="1" s="1"/>
  <c r="D50" i="1" s="1"/>
  <c r="B53" i="1"/>
  <c r="B46" i="1"/>
  <c r="B48" i="1" s="1"/>
  <c r="B39" i="1" s="1"/>
  <c r="C43" i="1" s="1"/>
  <c r="D52" i="1"/>
  <c r="C52" i="1"/>
  <c r="B52" i="1"/>
  <c r="B26" i="1"/>
  <c r="B24" i="1"/>
  <c r="C40" i="1" l="1"/>
  <c r="C49" i="1" s="1"/>
  <c r="C35" i="1"/>
  <c r="C42" i="1"/>
  <c r="B40" i="1"/>
  <c r="B51" i="1" s="1"/>
  <c r="D54" i="1"/>
  <c r="D51" i="1"/>
  <c r="D49" i="1"/>
  <c r="B47" i="1"/>
  <c r="D47" i="1"/>
  <c r="C47" i="1"/>
  <c r="B30" i="1"/>
  <c r="B29" i="1"/>
  <c r="B20" i="1"/>
  <c r="B19" i="1"/>
  <c r="G30" i="3" l="1"/>
  <c r="G34" i="3"/>
  <c r="G52" i="3"/>
  <c r="G45" i="3"/>
  <c r="G59" i="3"/>
  <c r="G27" i="3"/>
  <c r="G38" i="3"/>
  <c r="G42" i="3"/>
  <c r="G49" i="3"/>
  <c r="G56" i="3"/>
  <c r="G7" i="3"/>
  <c r="G12" i="3"/>
  <c r="G17" i="3"/>
  <c r="G63" i="3"/>
  <c r="G22" i="3"/>
  <c r="G16" i="3"/>
  <c r="G31" i="3"/>
  <c r="G35" i="3"/>
  <c r="G13" i="3"/>
  <c r="G58" i="3"/>
  <c r="G29" i="3"/>
  <c r="G5" i="3"/>
  <c r="G21" i="3"/>
  <c r="G46" i="3"/>
  <c r="G60" i="3"/>
  <c r="G28" i="3"/>
  <c r="G3" i="3"/>
  <c r="G8" i="3"/>
  <c r="G18" i="3"/>
  <c r="G40" i="3"/>
  <c r="G33" i="3"/>
  <c r="G25" i="3"/>
  <c r="G41" i="3"/>
  <c r="G6" i="3"/>
  <c r="G50" i="3"/>
  <c r="G53" i="3"/>
  <c r="G57" i="3"/>
  <c r="G23" i="3"/>
  <c r="G39" i="3"/>
  <c r="G64" i="3"/>
  <c r="G10" i="3"/>
  <c r="G15" i="3"/>
  <c r="G48" i="3"/>
  <c r="G66" i="3"/>
  <c r="G32" i="3"/>
  <c r="G36" i="3"/>
  <c r="G43" i="3"/>
  <c r="G4" i="3"/>
  <c r="G9" i="3"/>
  <c r="G14" i="3"/>
  <c r="G19" i="3"/>
  <c r="G61" i="3"/>
  <c r="G24" i="3"/>
  <c r="G47" i="3"/>
  <c r="G54" i="3"/>
  <c r="G65" i="3"/>
  <c r="G51" i="3"/>
  <c r="G20" i="3"/>
  <c r="G44" i="3"/>
  <c r="G62" i="3"/>
  <c r="G37" i="3"/>
  <c r="G55" i="3"/>
  <c r="G11" i="3"/>
  <c r="G2" i="3"/>
  <c r="G26" i="3"/>
  <c r="C54" i="1"/>
  <c r="C51" i="1"/>
  <c r="C50" i="1"/>
  <c r="B49" i="1"/>
  <c r="B50" i="1"/>
  <c r="B54" i="1"/>
  <c r="D55" i="1"/>
  <c r="D57" i="1" s="1"/>
  <c r="F43" i="1"/>
  <c r="F42" i="1"/>
  <c r="K62" i="3" l="1"/>
  <c r="H62" i="3"/>
  <c r="I62" i="3" s="1"/>
  <c r="J62" i="3" s="1"/>
  <c r="L62" i="3" s="1"/>
  <c r="H13" i="3"/>
  <c r="I13" i="3" s="1"/>
  <c r="J13" i="3" s="1"/>
  <c r="L13" i="3" s="1"/>
  <c r="K13" i="3"/>
  <c r="H31" i="3"/>
  <c r="I31" i="3" s="1"/>
  <c r="J31" i="3" s="1"/>
  <c r="L31" i="3" s="1"/>
  <c r="K31" i="3"/>
  <c r="H50" i="3"/>
  <c r="I50" i="3" s="1"/>
  <c r="J50" i="3" s="1"/>
  <c r="L50" i="3" s="1"/>
  <c r="K50" i="3"/>
  <c r="H49" i="3"/>
  <c r="I49" i="3" s="1"/>
  <c r="J49" i="3" s="1"/>
  <c r="L49" i="3" s="1"/>
  <c r="K49" i="3"/>
  <c r="H58" i="3"/>
  <c r="I58" i="3"/>
  <c r="J58" i="3" s="1"/>
  <c r="L58" i="3" s="1"/>
  <c r="K58" i="3"/>
  <c r="H20" i="3"/>
  <c r="I20" i="3"/>
  <c r="J20" i="3" s="1"/>
  <c r="L20" i="3" s="1"/>
  <c r="K20" i="3"/>
  <c r="H57" i="3"/>
  <c r="I57" i="3" s="1"/>
  <c r="J57" i="3" s="1"/>
  <c r="L57" i="3" s="1"/>
  <c r="K57" i="3"/>
  <c r="H54" i="3"/>
  <c r="I54" i="3" s="1"/>
  <c r="J54" i="3" s="1"/>
  <c r="L54" i="3" s="1"/>
  <c r="K54" i="3"/>
  <c r="H22" i="3"/>
  <c r="I22" i="3" s="1"/>
  <c r="J22" i="3" s="1"/>
  <c r="L22" i="3" s="1"/>
  <c r="K22" i="3"/>
  <c r="H17" i="3"/>
  <c r="I17" i="3" s="1"/>
  <c r="J17" i="3" s="1"/>
  <c r="L17" i="3" s="1"/>
  <c r="K17" i="3"/>
  <c r="H64" i="3"/>
  <c r="I64" i="3" s="1"/>
  <c r="J64" i="3" s="1"/>
  <c r="L64" i="3" s="1"/>
  <c r="K64" i="3"/>
  <c r="H23" i="3"/>
  <c r="I23" i="3" s="1"/>
  <c r="J23" i="3" s="1"/>
  <c r="L23" i="3" s="1"/>
  <c r="K23" i="3"/>
  <c r="H16" i="3"/>
  <c r="I16" i="3" s="1"/>
  <c r="J16" i="3" s="1"/>
  <c r="L16" i="3" s="1"/>
  <c r="K16" i="3"/>
  <c r="H47" i="3"/>
  <c r="I47" i="3" s="1"/>
  <c r="J47" i="3" s="1"/>
  <c r="L47" i="3" s="1"/>
  <c r="K47" i="3"/>
  <c r="H9" i="3"/>
  <c r="I9" i="3" s="1"/>
  <c r="J9" i="3" s="1"/>
  <c r="L9" i="3" s="1"/>
  <c r="K9" i="3"/>
  <c r="H3" i="3"/>
  <c r="I3" i="3" s="1"/>
  <c r="J3" i="3" s="1"/>
  <c r="L3" i="3" s="1"/>
  <c r="K3" i="3"/>
  <c r="H38" i="3"/>
  <c r="I38" i="3" s="1"/>
  <c r="J38" i="3" s="1"/>
  <c r="L38" i="3" s="1"/>
  <c r="K38" i="3"/>
  <c r="H44" i="3"/>
  <c r="I44" i="3" s="1"/>
  <c r="J44" i="3" s="1"/>
  <c r="L44" i="3" s="1"/>
  <c r="K44" i="3"/>
  <c r="H65" i="3"/>
  <c r="I65" i="3" s="1"/>
  <c r="J65" i="3" s="1"/>
  <c r="L65" i="3" s="1"/>
  <c r="K65" i="3"/>
  <c r="H6" i="3"/>
  <c r="I6" i="3" s="1"/>
  <c r="J6" i="3" s="1"/>
  <c r="L6" i="3" s="1"/>
  <c r="K6" i="3"/>
  <c r="H66" i="3"/>
  <c r="I66" i="3" s="1"/>
  <c r="J66" i="3" s="1"/>
  <c r="L66" i="3" s="1"/>
  <c r="K66" i="3"/>
  <c r="H51" i="3"/>
  <c r="I51" i="3" s="1"/>
  <c r="J51" i="3" s="1"/>
  <c r="L51" i="3" s="1"/>
  <c r="K51" i="3"/>
  <c r="H4" i="3"/>
  <c r="I4" i="3" s="1"/>
  <c r="J4" i="3" s="1"/>
  <c r="L4" i="3" s="1"/>
  <c r="K4" i="3"/>
  <c r="H35" i="3"/>
  <c r="I35" i="3" s="1"/>
  <c r="J35" i="3" s="1"/>
  <c r="L35" i="3" s="1"/>
  <c r="K35" i="3"/>
  <c r="H53" i="3"/>
  <c r="I53" i="3" s="1"/>
  <c r="J53" i="3" s="1"/>
  <c r="L53" i="3" s="1"/>
  <c r="K53" i="3"/>
  <c r="H41" i="3"/>
  <c r="I41" i="3" s="1"/>
  <c r="J41" i="3" s="1"/>
  <c r="L41" i="3" s="1"/>
  <c r="K41" i="3"/>
  <c r="H14" i="3"/>
  <c r="I14" i="3" s="1"/>
  <c r="J14" i="3" s="1"/>
  <c r="L14" i="3" s="1"/>
  <c r="K14" i="3"/>
  <c r="H40" i="3"/>
  <c r="I40" i="3" s="1"/>
  <c r="J40" i="3" s="1"/>
  <c r="L40" i="3" s="1"/>
  <c r="K40" i="3"/>
  <c r="H18" i="3"/>
  <c r="I18" i="3" s="1"/>
  <c r="J18" i="3" s="1"/>
  <c r="L18" i="3" s="1"/>
  <c r="K18" i="3"/>
  <c r="H28" i="3"/>
  <c r="I28" i="3" s="1"/>
  <c r="J28" i="3" s="1"/>
  <c r="L28" i="3" s="1"/>
  <c r="K28" i="3"/>
  <c r="H60" i="3"/>
  <c r="I60" i="3" s="1"/>
  <c r="J60" i="3" s="1"/>
  <c r="L60" i="3" s="1"/>
  <c r="K60" i="3"/>
  <c r="H45" i="3"/>
  <c r="I45" i="3" s="1"/>
  <c r="J45" i="3" s="1"/>
  <c r="L45" i="3" s="1"/>
  <c r="K45" i="3"/>
  <c r="H48" i="3"/>
  <c r="I48" i="3" s="1"/>
  <c r="J48" i="3" s="1"/>
  <c r="L48" i="3" s="1"/>
  <c r="K48" i="3"/>
  <c r="H21" i="3"/>
  <c r="I21" i="3" s="1"/>
  <c r="J21" i="3" s="1"/>
  <c r="L21" i="3" s="1"/>
  <c r="K21" i="3"/>
  <c r="H52" i="3"/>
  <c r="I52" i="3" s="1"/>
  <c r="J52" i="3" s="1"/>
  <c r="L52" i="3" s="1"/>
  <c r="K52" i="3"/>
  <c r="H55" i="3"/>
  <c r="I55" i="3" s="1"/>
  <c r="J55" i="3" s="1"/>
  <c r="L55" i="3" s="1"/>
  <c r="K55" i="3"/>
  <c r="H15" i="3"/>
  <c r="I15" i="3" s="1"/>
  <c r="J15" i="3" s="1"/>
  <c r="L15" i="3" s="1"/>
  <c r="K15" i="3"/>
  <c r="H5" i="3"/>
  <c r="I5" i="3" s="1"/>
  <c r="J5" i="3" s="1"/>
  <c r="L5" i="3" s="1"/>
  <c r="K5" i="3"/>
  <c r="H34" i="3"/>
  <c r="I34" i="3" s="1"/>
  <c r="J34" i="3" s="1"/>
  <c r="L34" i="3" s="1"/>
  <c r="K34" i="3"/>
  <c r="H39" i="3"/>
  <c r="I39" i="3" s="1"/>
  <c r="J39" i="3" s="1"/>
  <c r="L39" i="3" s="1"/>
  <c r="K39" i="3"/>
  <c r="H63" i="3"/>
  <c r="I63" i="3" s="1"/>
  <c r="J63" i="3" s="1"/>
  <c r="L63" i="3" s="1"/>
  <c r="K63" i="3"/>
  <c r="H24" i="3"/>
  <c r="I24" i="3" s="1"/>
  <c r="J24" i="3" s="1"/>
  <c r="L24" i="3" s="1"/>
  <c r="K24" i="3"/>
  <c r="H61" i="3"/>
  <c r="I61" i="3" s="1"/>
  <c r="J61" i="3" s="1"/>
  <c r="L61" i="3" s="1"/>
  <c r="K61" i="3"/>
  <c r="H25" i="3"/>
  <c r="I25" i="3" s="1"/>
  <c r="J25" i="3" s="1"/>
  <c r="L25" i="3" s="1"/>
  <c r="K25" i="3"/>
  <c r="H12" i="3"/>
  <c r="I12" i="3" s="1"/>
  <c r="J12" i="3" s="1"/>
  <c r="L12" i="3" s="1"/>
  <c r="K12" i="3"/>
  <c r="H19" i="3"/>
  <c r="I19" i="3" s="1"/>
  <c r="J19" i="3" s="1"/>
  <c r="L19" i="3" s="1"/>
  <c r="K19" i="3"/>
  <c r="H33" i="3"/>
  <c r="I33" i="3" s="1"/>
  <c r="J33" i="3" s="1"/>
  <c r="L33" i="3" s="1"/>
  <c r="K33" i="3"/>
  <c r="H7" i="3"/>
  <c r="I7" i="3" s="1"/>
  <c r="J7" i="3" s="1"/>
  <c r="L7" i="3" s="1"/>
  <c r="K7" i="3"/>
  <c r="H56" i="3"/>
  <c r="I56" i="3" s="1"/>
  <c r="J56" i="3" s="1"/>
  <c r="L56" i="3" s="1"/>
  <c r="K56" i="3"/>
  <c r="H8" i="3"/>
  <c r="I8" i="3" s="1"/>
  <c r="J8" i="3" s="1"/>
  <c r="L8" i="3" s="1"/>
  <c r="K8" i="3"/>
  <c r="H42" i="3"/>
  <c r="I42" i="3" s="1"/>
  <c r="J42" i="3" s="1"/>
  <c r="L42" i="3" s="1"/>
  <c r="K42" i="3"/>
  <c r="H43" i="3"/>
  <c r="I43" i="3" s="1"/>
  <c r="J43" i="3" s="1"/>
  <c r="L43" i="3" s="1"/>
  <c r="K43" i="3"/>
  <c r="K36" i="3"/>
  <c r="H36" i="3"/>
  <c r="I36" i="3" s="1"/>
  <c r="J36" i="3" s="1"/>
  <c r="L36" i="3" s="1"/>
  <c r="H27" i="3"/>
  <c r="I27" i="3" s="1"/>
  <c r="J27" i="3" s="1"/>
  <c r="L27" i="3" s="1"/>
  <c r="K27" i="3"/>
  <c r="H32" i="3"/>
  <c r="I32" i="3" s="1"/>
  <c r="J32" i="3" s="1"/>
  <c r="L32" i="3" s="1"/>
  <c r="K32" i="3"/>
  <c r="H59" i="3"/>
  <c r="I59" i="3" s="1"/>
  <c r="J59" i="3" s="1"/>
  <c r="L59" i="3" s="1"/>
  <c r="K59" i="3"/>
  <c r="H46" i="3"/>
  <c r="I46" i="3" s="1"/>
  <c r="J46" i="3" s="1"/>
  <c r="L46" i="3" s="1"/>
  <c r="K46" i="3"/>
  <c r="H11" i="3"/>
  <c r="I11" i="3" s="1"/>
  <c r="J11" i="3" s="1"/>
  <c r="L11" i="3" s="1"/>
  <c r="K11" i="3"/>
  <c r="H37" i="3"/>
  <c r="I37" i="3" s="1"/>
  <c r="J37" i="3" s="1"/>
  <c r="L37" i="3" s="1"/>
  <c r="K37" i="3"/>
  <c r="H10" i="3"/>
  <c r="I10" i="3" s="1"/>
  <c r="J10" i="3" s="1"/>
  <c r="L10" i="3" s="1"/>
  <c r="K10" i="3"/>
  <c r="H29" i="3"/>
  <c r="I29" i="3" s="1"/>
  <c r="J29" i="3" s="1"/>
  <c r="L29" i="3" s="1"/>
  <c r="K29" i="3"/>
  <c r="H30" i="3"/>
  <c r="I30" i="3" s="1"/>
  <c r="J30" i="3" s="1"/>
  <c r="L30" i="3" s="1"/>
  <c r="K30" i="3"/>
  <c r="H2" i="3"/>
  <c r="I2" i="3" s="1"/>
  <c r="J2" i="3" s="1"/>
  <c r="H26" i="3"/>
  <c r="I26" i="3" s="1"/>
  <c r="J26" i="3" s="1"/>
  <c r="L26" i="3" s="1"/>
  <c r="K26" i="3"/>
  <c r="K2" i="3"/>
  <c r="C55" i="1"/>
  <c r="C57" i="1" s="1"/>
  <c r="B55" i="1"/>
  <c r="B57" i="1" s="1"/>
  <c r="D56" i="1"/>
  <c r="L2" i="3" l="1"/>
  <c r="C37" i="1"/>
  <c r="C56" i="1"/>
  <c r="B56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0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  <bk>
      <extLst>
        <ext uri="{3e2802c4-a4d2-4d8b-9148-e3be6c30e623}">
          <xlrd:rvb i="2"/>
        </ext>
      </extLst>
    </bk>
    <bk>
      <extLst>
        <ext uri="{3e2802c4-a4d2-4d8b-9148-e3be6c30e623}">
          <xlrd:rvb i="3"/>
        </ext>
      </extLst>
    </bk>
    <bk>
      <extLst>
        <ext uri="{3e2802c4-a4d2-4d8b-9148-e3be6c30e623}">
          <xlrd:rvb i="4"/>
        </ext>
      </extLst>
    </bk>
    <bk>
      <extLst>
        <ext uri="{3e2802c4-a4d2-4d8b-9148-e3be6c30e623}">
          <xlrd:rvb i="5"/>
        </ext>
      </extLst>
    </bk>
    <bk>
      <extLst>
        <ext uri="{3e2802c4-a4d2-4d8b-9148-e3be6c30e623}">
          <xlrd:rvb i="6"/>
        </ext>
      </extLst>
    </bk>
    <bk>
      <extLst>
        <ext uri="{3e2802c4-a4d2-4d8b-9148-e3be6c30e623}">
          <xlrd:rvb i="7"/>
        </ext>
      </extLst>
    </bk>
    <bk>
      <extLst>
        <ext uri="{3e2802c4-a4d2-4d8b-9148-e3be6c30e623}">
          <xlrd:rvb i="8"/>
        </ext>
      </extLst>
    </bk>
    <bk>
      <extLst>
        <ext uri="{3e2802c4-a4d2-4d8b-9148-e3be6c30e623}">
          <xlrd:rvb i="9"/>
        </ext>
      </extLst>
    </bk>
  </futureMetadata>
  <valueMetadata count="10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</valueMetadata>
</metadata>
</file>

<file path=xl/sharedStrings.xml><?xml version="1.0" encoding="utf-8"?>
<sst xmlns="http://schemas.openxmlformats.org/spreadsheetml/2006/main" count="149" uniqueCount="122">
  <si>
    <t>APM81815, Buck converter Component calculator</t>
  </si>
  <si>
    <t>INSTRUCTIONS:   Enter design goals and component values in the white boxes.
Ensure "Iterative Calculation" is enabled under File -&gt; Options -&gt; Formulas</t>
  </si>
  <si>
    <t>VARIABLES</t>
  </si>
  <si>
    <t>MIN</t>
  </si>
  <si>
    <t>TYP</t>
  </si>
  <si>
    <t>MAX</t>
  </si>
  <si>
    <t>UNITS</t>
  </si>
  <si>
    <t>COMMENTS</t>
  </si>
  <si>
    <t>Operating Input Voltage</t>
  </si>
  <si>
    <t>V</t>
  </si>
  <si>
    <t>Output voltage</t>
  </si>
  <si>
    <t>Select from drop down list</t>
  </si>
  <si>
    <t>Load current</t>
  </si>
  <si>
    <t>A</t>
  </si>
  <si>
    <t>Maximum 1.5 A</t>
  </si>
  <si>
    <t>Select frequency setting internal or external via SYNC pin</t>
  </si>
  <si>
    <t>Internal</t>
  </si>
  <si>
    <t xml:space="preserve">Is dither needed </t>
  </si>
  <si>
    <t>Yes</t>
  </si>
  <si>
    <t>Option available only with Internal clock, no dithering with external clock</t>
  </si>
  <si>
    <t>Switching Frequency Default (2.15MHz) or setting via RFSET</t>
  </si>
  <si>
    <t>Select Default or RFSET from drop down list</t>
  </si>
  <si>
    <t>Switching Frequency</t>
  </si>
  <si>
    <t>Fsw to be set by RFSET/Applied via SYNC in case of external setting</t>
  </si>
  <si>
    <t>Is Low power mode needed?</t>
  </si>
  <si>
    <t>Select if auto transition from switching to low power mode required</t>
  </si>
  <si>
    <t>Soft start time (Up to 43 ms)</t>
  </si>
  <si>
    <t>ms</t>
  </si>
  <si>
    <t>Ω</t>
  </si>
  <si>
    <t>"Blue" text is a recommended value</t>
  </si>
  <si>
    <t>External Components</t>
  </si>
  <si>
    <t>SYNC pin connection</t>
  </si>
  <si>
    <t>FSET pin connection</t>
  </si>
  <si>
    <t>Calculated RFSET</t>
  </si>
  <si>
    <t>kΩ</t>
  </si>
  <si>
    <t>Recommended Resistor from FSET to GND</t>
  </si>
  <si>
    <t xml:space="preserve">Selected RFSET </t>
  </si>
  <si>
    <t>Select close to recommended value</t>
  </si>
  <si>
    <t>Actual value of set Frequency</t>
  </si>
  <si>
    <t>µH</t>
  </si>
  <si>
    <t xml:space="preserve">Calculated value of output capacitor </t>
  </si>
  <si>
    <t>µF</t>
  </si>
  <si>
    <t>VS1 and VS2</t>
  </si>
  <si>
    <t>Position of LP/PWM pin</t>
  </si>
  <si>
    <t>Soft start pin</t>
  </si>
  <si>
    <t>Recommended value of Soft start capacitor (Css)</t>
  </si>
  <si>
    <t>nF</t>
  </si>
  <si>
    <t>Value of selected capacitor</t>
  </si>
  <si>
    <t>Actual value of SS time</t>
  </si>
  <si>
    <t>Duty Cycle Calculations</t>
  </si>
  <si>
    <t>Duty Cycle with Losses @maximum load current</t>
  </si>
  <si>
    <t>ton, toff Calculations @ worst case (For ton min and toff min check)</t>
  </si>
  <si>
    <t xml:space="preserve">ton @ Vinmax </t>
  </si>
  <si>
    <t>ns</t>
  </si>
  <si>
    <t xml:space="preserve">toff @ Vinmin </t>
  </si>
  <si>
    <t>@Vinmin</t>
  </si>
  <si>
    <t>@Vinnom</t>
  </si>
  <si>
    <t>@Vinmax</t>
  </si>
  <si>
    <t>W</t>
  </si>
  <si>
    <t>Power loss in High side FET (Conduction loss)</t>
  </si>
  <si>
    <t>Power loss in Low side FET (Conduction loss)</t>
  </si>
  <si>
    <t>Total Power Loss</t>
  </si>
  <si>
    <t>RDSON(High Side)</t>
  </si>
  <si>
    <t>RDSON(Low Side)</t>
  </si>
  <si>
    <t xml:space="preserve">RθJA </t>
  </si>
  <si>
    <t>°C/W</t>
  </si>
  <si>
    <t>Soft Start (Internal SS fixed=0.7ms)</t>
  </si>
  <si>
    <t>Internal SS is fixed to 0.7ms. Select external SS for longer SS times</t>
  </si>
  <si>
    <t>SW node rise SR</t>
  </si>
  <si>
    <t>SW node falling SR</t>
  </si>
  <si>
    <t>Selected Inductor</t>
  </si>
  <si>
    <t xml:space="preserve">Calculated value of Inductor </t>
  </si>
  <si>
    <t>Select Value close to calculated value, Maximum allowed value of inductor is 22µH</t>
  </si>
  <si>
    <t>kHz</t>
  </si>
  <si>
    <t>Inductor Current Ripple @maximum load current</t>
  </si>
  <si>
    <t>Total IC Power Loss</t>
  </si>
  <si>
    <t>Ambient Temperature</t>
  </si>
  <si>
    <t>Maximum Junction Temperature</t>
  </si>
  <si>
    <r>
      <t>°</t>
    </r>
    <r>
      <rPr>
        <sz val="12.65"/>
        <color theme="1"/>
        <rFont val="Calibri"/>
        <family val="2"/>
      </rPr>
      <t>C</t>
    </r>
  </si>
  <si>
    <t>°C</t>
  </si>
  <si>
    <t>Select close to recommended value (Between 3nF to 200nF)</t>
  </si>
  <si>
    <t>Choose values between 0.7ms to 42.9ms</t>
  </si>
  <si>
    <r>
      <t>Considered max values at T</t>
    </r>
    <r>
      <rPr>
        <sz val="8"/>
        <color theme="1"/>
        <rFont val="Calibri"/>
        <family val="2"/>
        <scheme val="minor"/>
      </rPr>
      <t>J</t>
    </r>
    <r>
      <rPr>
        <sz val="11"/>
        <color theme="1"/>
        <rFont val="Calibri"/>
        <family val="2"/>
        <scheme val="minor"/>
      </rPr>
      <t>=25°C</t>
    </r>
  </si>
  <si>
    <t>Driving/Quiescent power loss</t>
  </si>
  <si>
    <t>DC resistance of Inductor (DCR)</t>
  </si>
  <si>
    <t>AC resistance of Inductor (ACR) @ Switching Frequency</t>
  </si>
  <si>
    <t>ACR=12*Pac/(dIL^2)</t>
  </si>
  <si>
    <t>Power loss in Inductor (DC+AC)</t>
  </si>
  <si>
    <t>I-V overlap power loss</t>
  </si>
  <si>
    <t>Coss power loss</t>
  </si>
  <si>
    <t>Reverse recovery charge loss</t>
  </si>
  <si>
    <t>Coss,TOT</t>
  </si>
  <si>
    <t>F</t>
  </si>
  <si>
    <t>Cgs,TOT</t>
  </si>
  <si>
    <t>VCC</t>
  </si>
  <si>
    <t>QRR</t>
  </si>
  <si>
    <t>V/ns</t>
  </si>
  <si>
    <t>C</t>
  </si>
  <si>
    <t>Driving/Quiescent current</t>
  </si>
  <si>
    <t>Buck output current</t>
  </si>
  <si>
    <t>Loop Gain Calculations</t>
  </si>
  <si>
    <t>Loop Gain Bandwidth</t>
  </si>
  <si>
    <t>Loop Gain Phase Margin</t>
  </si>
  <si>
    <t>Slected Output Capacitor</t>
  </si>
  <si>
    <t>°</t>
  </si>
  <si>
    <t>(internal parameter)</t>
  </si>
  <si>
    <t>freq [kHz]</t>
  </si>
  <si>
    <t>BWv [kHz]</t>
  </si>
  <si>
    <t>fp_origin [kHz]</t>
  </si>
  <si>
    <t>fp_1 [kHz]</t>
  </si>
  <si>
    <t>fz_1 [kHz]</t>
  </si>
  <si>
    <t>fp_2 [kHz]</t>
  </si>
  <si>
    <t>BWi [kHz]</t>
  </si>
  <si>
    <t>Gain</t>
  </si>
  <si>
    <t>Phase</t>
  </si>
  <si>
    <t>Q_Bwi</t>
  </si>
  <si>
    <t>PMi</t>
  </si>
  <si>
    <t>Xi</t>
  </si>
  <si>
    <t>Loop Gain Plot</t>
  </si>
  <si>
    <t>Losses Breakdown Plot</t>
  </si>
  <si>
    <t>RFSET</t>
  </si>
  <si>
    <t>Losses Caculations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</si>
</sst>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3" x14ac:knownFonts="1">
    <font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2.65"/>
      <color theme="1"/>
      <name val="Calibri"/>
      <family val="2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/>
    <xf numFmtId="0" fontId="4" fillId="6" borderId="1" xfId="0" applyFont="1" applyFill="1" applyBorder="1" applyAlignment="1">
      <alignment horizontal="center" wrapText="1"/>
    </xf>
    <xf numFmtId="0" fontId="0" fillId="6" borderId="1" xfId="0" applyFill="1" applyBorder="1"/>
    <xf numFmtId="0" fontId="0" fillId="6" borderId="1" xfId="0" applyFill="1" applyBorder="1" applyAlignment="1">
      <alignment horizontal="center" vertical="center"/>
    </xf>
    <xf numFmtId="164" fontId="0" fillId="6" borderId="1" xfId="0" applyNumberFormat="1" applyFill="1" applyBorder="1" applyAlignment="1">
      <alignment horizontal="center" vertical="center"/>
    </xf>
    <xf numFmtId="165" fontId="5" fillId="6" borderId="1" xfId="0" applyNumberFormat="1" applyFont="1" applyFill="1" applyBorder="1" applyAlignment="1">
      <alignment horizontal="center" vertical="center"/>
    </xf>
    <xf numFmtId="2" fontId="5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0" fillId="6" borderId="1" xfId="0" quotePrefix="1" applyFill="1" applyBorder="1" applyAlignment="1">
      <alignment horizontal="center" vertical="center"/>
    </xf>
    <xf numFmtId="0" fontId="0" fillId="6" borderId="1" xfId="0" quotePrefix="1" applyFill="1" applyBorder="1" applyAlignment="1">
      <alignment vertical="center"/>
    </xf>
    <xf numFmtId="1" fontId="0" fillId="6" borderId="1" xfId="0" applyNumberFormat="1" applyFill="1" applyBorder="1" applyAlignment="1">
      <alignment horizontal="center" vertical="center"/>
    </xf>
    <xf numFmtId="0" fontId="0" fillId="6" borderId="7" xfId="0" applyFill="1" applyBorder="1" applyAlignment="1">
      <alignment vertical="center"/>
    </xf>
    <xf numFmtId="0" fontId="0" fillId="6" borderId="3" xfId="0" applyFill="1" applyBorder="1" applyAlignment="1">
      <alignment horizontal="left" vertical="center" wrapText="1"/>
    </xf>
    <xf numFmtId="0" fontId="2" fillId="6" borderId="1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8" fillId="6" borderId="1" xfId="0" applyFont="1" applyFill="1" applyBorder="1"/>
    <xf numFmtId="2" fontId="0" fillId="6" borderId="1" xfId="0" applyNumberForma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10" fontId="0" fillId="6" borderId="1" xfId="0" applyNumberFormat="1" applyFill="1" applyBorder="1" applyAlignment="1">
      <alignment horizontal="center" vertical="center"/>
    </xf>
    <xf numFmtId="0" fontId="0" fillId="6" borderId="6" xfId="0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6" borderId="4" xfId="0" quotePrefix="1" applyFill="1" applyBorder="1" applyAlignment="1">
      <alignment horizontal="center" vertical="center"/>
    </xf>
    <xf numFmtId="0" fontId="2" fillId="6" borderId="6" xfId="0" applyFont="1" applyFill="1" applyBorder="1" applyAlignment="1">
      <alignment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11" fontId="0" fillId="0" borderId="0" xfId="0" applyNumberFormat="1" applyAlignment="1">
      <alignment horizontal="center" vertical="center"/>
    </xf>
    <xf numFmtId="164" fontId="0" fillId="6" borderId="1" xfId="0" quotePrefix="1" applyNumberFormat="1" applyFill="1" applyBorder="1" applyAlignment="1">
      <alignment horizontal="center" vertical="center"/>
    </xf>
    <xf numFmtId="164" fontId="0" fillId="6" borderId="4" xfId="0" quotePrefix="1" applyNumberForma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2" fontId="0" fillId="0" borderId="0" xfId="0" applyNumberFormat="1"/>
    <xf numFmtId="0" fontId="0" fillId="8" borderId="11" xfId="0" applyFill="1" applyBorder="1"/>
    <xf numFmtId="0" fontId="0" fillId="8" borderId="0" xfId="0" applyFill="1"/>
    <xf numFmtId="0" fontId="0" fillId="8" borderId="12" xfId="0" applyFill="1" applyBorder="1"/>
    <xf numFmtId="0" fontId="0" fillId="8" borderId="13" xfId="0" applyFill="1" applyBorder="1"/>
    <xf numFmtId="0" fontId="0" fillId="8" borderId="14" xfId="0" applyFill="1" applyBorder="1"/>
    <xf numFmtId="0" fontId="0" fillId="8" borderId="15" xfId="0" applyFill="1" applyBorder="1"/>
    <xf numFmtId="0" fontId="0" fillId="8" borderId="8" xfId="0" applyFill="1" applyBorder="1"/>
    <xf numFmtId="0" fontId="0" fillId="8" borderId="9" xfId="0" applyFill="1" applyBorder="1"/>
    <xf numFmtId="0" fontId="0" fillId="8" borderId="10" xfId="0" applyFill="1" applyBorder="1"/>
    <xf numFmtId="0" fontId="12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left" vertical="center" wrapText="1"/>
    </xf>
    <xf numFmtId="0" fontId="0" fillId="6" borderId="3" xfId="0" applyFill="1" applyBorder="1" applyAlignment="1">
      <alignment horizontal="left" vertical="center" wrapText="1"/>
    </xf>
    <xf numFmtId="0" fontId="0" fillId="6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6" borderId="4" xfId="0" applyFill="1" applyBorder="1" applyAlignment="1">
      <alignment horizontal="center" wrapText="1"/>
    </xf>
    <xf numFmtId="0" fontId="0" fillId="6" borderId="5" xfId="0" applyFill="1" applyBorder="1" applyAlignment="1">
      <alignment horizontal="center" wrapText="1"/>
    </xf>
    <xf numFmtId="0" fontId="0" fillId="6" borderId="6" xfId="0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14"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  <dxf>
      <font>
        <color theme="0"/>
      </font>
    </dxf>
    <dxf>
      <font>
        <color theme="5" tint="0.59996337778862885"/>
      </font>
    </dxf>
    <dxf>
      <font>
        <color theme="0"/>
      </font>
    </dxf>
    <dxf>
      <font>
        <color theme="5" tint="0.59996337778862885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5" tint="0.59996337778862885"/>
      </font>
    </dxf>
    <dxf>
      <font>
        <color theme="4" tint="0.79998168889431442"/>
      </font>
    </dxf>
    <dxf>
      <font>
        <color theme="4" tint="0.79998168889431442"/>
      </font>
    </dxf>
    <dxf>
      <font>
        <color theme="4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LoopGain!$A$2:$A$66</c:f>
              <c:numCache>
                <c:formatCode>General</c:formatCode>
                <c:ptCount val="65"/>
                <c:pt idx="0">
                  <c:v>0.1</c:v>
                </c:pt>
                <c:pt idx="1">
                  <c:v>0.12</c:v>
                </c:pt>
                <c:pt idx="2">
                  <c:v>0.15</c:v>
                </c:pt>
                <c:pt idx="3">
                  <c:v>0.18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0.7</c:v>
                </c:pt>
                <c:pt idx="14">
                  <c:v>0.8</c:v>
                </c:pt>
                <c:pt idx="15">
                  <c:v>0.9</c:v>
                </c:pt>
                <c:pt idx="16">
                  <c:v>1</c:v>
                </c:pt>
                <c:pt idx="17">
                  <c:v>1.2</c:v>
                </c:pt>
                <c:pt idx="18">
                  <c:v>1.5</c:v>
                </c:pt>
                <c:pt idx="19">
                  <c:v>1.8</c:v>
                </c:pt>
                <c:pt idx="20">
                  <c:v>2</c:v>
                </c:pt>
                <c:pt idx="21">
                  <c:v>2.5</c:v>
                </c:pt>
                <c:pt idx="22">
                  <c:v>3</c:v>
                </c:pt>
                <c:pt idx="23">
                  <c:v>3.5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5.5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12</c:v>
                </c:pt>
                <c:pt idx="34">
                  <c:v>15</c:v>
                </c:pt>
                <c:pt idx="35">
                  <c:v>18</c:v>
                </c:pt>
                <c:pt idx="36">
                  <c:v>20</c:v>
                </c:pt>
                <c:pt idx="37">
                  <c:v>25</c:v>
                </c:pt>
                <c:pt idx="38">
                  <c:v>30</c:v>
                </c:pt>
                <c:pt idx="39">
                  <c:v>35</c:v>
                </c:pt>
                <c:pt idx="40">
                  <c:v>40</c:v>
                </c:pt>
                <c:pt idx="41">
                  <c:v>45</c:v>
                </c:pt>
                <c:pt idx="42">
                  <c:v>50</c:v>
                </c:pt>
                <c:pt idx="43">
                  <c:v>55</c:v>
                </c:pt>
                <c:pt idx="44">
                  <c:v>60</c:v>
                </c:pt>
                <c:pt idx="45">
                  <c:v>70</c:v>
                </c:pt>
                <c:pt idx="46">
                  <c:v>80</c:v>
                </c:pt>
                <c:pt idx="47">
                  <c:v>90</c:v>
                </c:pt>
                <c:pt idx="48">
                  <c:v>100</c:v>
                </c:pt>
                <c:pt idx="49">
                  <c:v>120</c:v>
                </c:pt>
                <c:pt idx="50">
                  <c:v>150</c:v>
                </c:pt>
                <c:pt idx="51">
                  <c:v>180</c:v>
                </c:pt>
                <c:pt idx="52">
                  <c:v>200</c:v>
                </c:pt>
                <c:pt idx="53">
                  <c:v>250</c:v>
                </c:pt>
                <c:pt idx="54">
                  <c:v>300</c:v>
                </c:pt>
                <c:pt idx="55">
                  <c:v>350</c:v>
                </c:pt>
                <c:pt idx="56">
                  <c:v>400</c:v>
                </c:pt>
                <c:pt idx="57">
                  <c:v>450</c:v>
                </c:pt>
                <c:pt idx="58">
                  <c:v>500</c:v>
                </c:pt>
                <c:pt idx="59">
                  <c:v>550</c:v>
                </c:pt>
                <c:pt idx="60">
                  <c:v>600</c:v>
                </c:pt>
                <c:pt idx="61">
                  <c:v>700</c:v>
                </c:pt>
                <c:pt idx="62">
                  <c:v>800</c:v>
                </c:pt>
                <c:pt idx="63">
                  <c:v>900</c:v>
                </c:pt>
                <c:pt idx="64">
                  <c:v>1000</c:v>
                </c:pt>
              </c:numCache>
            </c:numRef>
          </c:xVal>
          <c:yVal>
            <c:numRef>
              <c:f>LoopGain!$K$2:$K$66</c:f>
              <c:numCache>
                <c:formatCode>0.00</c:formatCode>
                <c:ptCount val="65"/>
                <c:pt idx="0">
                  <c:v>62.492609274699937</c:v>
                </c:pt>
                <c:pt idx="1">
                  <c:v>60.613738469970819</c:v>
                </c:pt>
                <c:pt idx="2">
                  <c:v>58.254246241537572</c:v>
                </c:pt>
                <c:pt idx="3">
                  <c:v>56.272852318829521</c:v>
                </c:pt>
                <c:pt idx="4">
                  <c:v>55.104437150717338</c:v>
                </c:pt>
                <c:pt idx="5">
                  <c:v>52.570474633714596</c:v>
                </c:pt>
                <c:pt idx="6">
                  <c:v>50.438333209894672</c:v>
                </c:pt>
                <c:pt idx="7">
                  <c:v>48.591714617695118</c:v>
                </c:pt>
                <c:pt idx="8">
                  <c:v>46.959823528885501</c:v>
                </c:pt>
                <c:pt idx="9">
                  <c:v>45.496071924193245</c:v>
                </c:pt>
                <c:pt idx="10">
                  <c:v>44.168009722237223</c:v>
                </c:pt>
                <c:pt idx="11">
                  <c:v>42.952036016609071</c:v>
                </c:pt>
                <c:pt idx="12">
                  <c:v>41.830393100323839</c:v>
                </c:pt>
                <c:pt idx="13">
                  <c:v>39.818045013440717</c:v>
                </c:pt>
                <c:pt idx="14">
                  <c:v>38.051234482917359</c:v>
                </c:pt>
                <c:pt idx="15">
                  <c:v>36.476871559201392</c:v>
                </c:pt>
                <c:pt idx="16">
                  <c:v>35.057662383392348</c:v>
                </c:pt>
                <c:pt idx="17">
                  <c:v>32.582253907943986</c:v>
                </c:pt>
                <c:pt idx="18">
                  <c:v>29.529758210088978</c:v>
                </c:pt>
                <c:pt idx="19">
                  <c:v>27.027341346257927</c:v>
                </c:pt>
                <c:pt idx="20">
                  <c:v>25.581390139078284</c:v>
                </c:pt>
                <c:pt idx="21">
                  <c:v>22.527341055545399</c:v>
                </c:pt>
                <c:pt idx="22">
                  <c:v>20.04741612080106</c:v>
                </c:pt>
                <c:pt idx="23">
                  <c:v>17.965868906032139</c:v>
                </c:pt>
                <c:pt idx="24">
                  <c:v>16.175956755714065</c:v>
                </c:pt>
                <c:pt idx="25">
                  <c:v>14.608114690939322</c:v>
                </c:pt>
                <c:pt idx="26">
                  <c:v>13.214577269636276</c:v>
                </c:pt>
                <c:pt idx="27">
                  <c:v>11.961195463650849</c:v>
                </c:pt>
                <c:pt idx="28">
                  <c:v>10.822754279755927</c:v>
                </c:pt>
                <c:pt idx="29">
                  <c:v>8.8185254031233242</c:v>
                </c:pt>
                <c:pt idx="30">
                  <c:v>7.0938227628871084</c:v>
                </c:pt>
                <c:pt idx="31">
                  <c:v>5.5795332237569761</c:v>
                </c:pt>
                <c:pt idx="32">
                  <c:v>4.2289514898887974</c:v>
                </c:pt>
                <c:pt idx="33">
                  <c:v>1.8960331740772838</c:v>
                </c:pt>
                <c:pt idx="34">
                  <c:v>-0.96383051935823261</c:v>
                </c:pt>
                <c:pt idx="35">
                  <c:v>-3.3167465010174575</c:v>
                </c:pt>
                <c:pt idx="36">
                  <c:v>-4.6879116773894474</c:v>
                </c:pt>
                <c:pt idx="37">
                  <c:v>-7.6317374207046731</c:v>
                </c:pt>
                <c:pt idx="38">
                  <c:v>-10.089545656009204</c:v>
                </c:pt>
                <c:pt idx="39">
                  <c:v>-12.213807844840453</c:v>
                </c:pt>
                <c:pt idx="40">
                  <c:v>-14.093749044410709</c:v>
                </c:pt>
                <c:pt idx="41">
                  <c:v>-15.786176514971146</c:v>
                </c:pt>
                <c:pt idx="42">
                  <c:v>-17.32957191488785</c:v>
                </c:pt>
                <c:pt idx="43">
                  <c:v>-18.751271617549676</c:v>
                </c:pt>
                <c:pt idx="44">
                  <c:v>-20.071437437674369</c:v>
                </c:pt>
                <c:pt idx="45">
                  <c:v>-22.465102816190623</c:v>
                </c:pt>
                <c:pt idx="46">
                  <c:v>-24.597991234118002</c:v>
                </c:pt>
                <c:pt idx="47">
                  <c:v>-26.527058014357138</c:v>
                </c:pt>
                <c:pt idx="48">
                  <c:v>-28.291696935459456</c:v>
                </c:pt>
                <c:pt idx="49">
                  <c:v>-31.434588314985294</c:v>
                </c:pt>
                <c:pt idx="50">
                  <c:v>-35.438247925324362</c:v>
                </c:pt>
                <c:pt idx="51">
                  <c:v>-38.839005510188287</c:v>
                </c:pt>
                <c:pt idx="52">
                  <c:v>-40.857181622775222</c:v>
                </c:pt>
                <c:pt idx="53">
                  <c:v>-45.257621973153022</c:v>
                </c:pt>
                <c:pt idx="54">
                  <c:v>-48.977028646760452</c:v>
                </c:pt>
                <c:pt idx="55">
                  <c:v>-52.205367901268787</c:v>
                </c:pt>
                <c:pt idx="56">
                  <c:v>-55.061210628323636</c:v>
                </c:pt>
                <c:pt idx="57">
                  <c:v>-57.623977700499374</c:v>
                </c:pt>
                <c:pt idx="58">
                  <c:v>-59.949680300809483</c:v>
                </c:pt>
                <c:pt idx="59">
                  <c:v>-62.079407170544847</c:v>
                </c:pt>
                <c:pt idx="60">
                  <c:v>-64.044253700442482</c:v>
                </c:pt>
                <c:pt idx="61">
                  <c:v>-67.570839031880737</c:v>
                </c:pt>
                <c:pt idx="62">
                  <c:v>-70.669887447940539</c:v>
                </c:pt>
                <c:pt idx="63">
                  <c:v>-73.434996354341138</c:v>
                </c:pt>
                <c:pt idx="64">
                  <c:v>-75.931807475036479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ED2-4EC4-AC81-9C6CCC84EA12}"/>
            </c:ext>
          </c:extLst>
        </c:ser>
        <c:ser>
          <c:idx val="1"/>
          <c:order val="1"/>
          <c:tx>
            <c:v>BW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(Calculator!$C$36,Calculator!$C$36)</c:f>
              <c:numCache>
                <c:formatCode>0.00</c:formatCode>
                <c:ptCount val="2"/>
                <c:pt idx="0">
                  <c:v>13.770853232064704</c:v>
                </c:pt>
                <c:pt idx="1">
                  <c:v>13.770853232064704</c:v>
                </c:pt>
              </c:numCache>
            </c:numRef>
          </c:xVal>
          <c:yVal>
            <c:numLit>
              <c:formatCode>General</c:formatCode>
              <c:ptCount val="2"/>
              <c:pt idx="0">
                <c:v>-900</c:v>
              </c:pt>
              <c:pt idx="1">
                <c:v>900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7ED2-4EC4-AC81-9C6CCC84E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8748511"/>
        <c:axId val="1157688879"/>
      </c:scatterChart>
      <c:valAx>
        <c:axId val="1288748511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 [kHz]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150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150"/>
          </a:p>
        </c:txPr>
        <c:crossAx val="1157688879"/>
        <c:crossesAt val="-80"/>
        <c:crossBetween val="midCat"/>
      </c:valAx>
      <c:valAx>
        <c:axId val="1157688879"/>
        <c:scaling>
          <c:orientation val="minMax"/>
          <c:max val="80"/>
          <c:min val="-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Loop Gain [dB]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150"/>
          </a:p>
        </c:txPr>
        <c:crossAx val="1288748511"/>
        <c:crossesAt val="0.1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/>
      </a:pPr>
      <a:endParaRPr lang="en-150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IC</a:t>
            </a:r>
            <a:r>
              <a:rPr lang="en-US" b="1" baseline="0"/>
              <a:t> Losses Breakdown @VIN_min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150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2541666666666668"/>
          <c:w val="1"/>
          <c:h val="0.605625546806649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E38-43BB-81BB-FD428B35885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E38-43BB-81BB-FD428B35885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2E38-43BB-81BB-FD428B35885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2E38-43BB-81BB-FD428B35885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2E38-43BB-81BB-FD428B358857}"/>
              </c:ext>
            </c:extLst>
          </c:dPt>
          <c:cat>
            <c:strLit>
              <c:ptCount val="5"/>
              <c:pt idx="0">
                <c:v>HS conduction</c:v>
              </c:pt>
              <c:pt idx="1">
                <c:v>LS conduction</c:v>
              </c:pt>
              <c:pt idx="2">
                <c:v>IV Overlap</c:v>
              </c:pt>
              <c:pt idx="3">
                <c:v>Coss</c:v>
              </c:pt>
              <c:pt idx="4">
                <c:v>Reverse Recovry Charge</c:v>
              </c:pt>
            </c:strLit>
          </c:cat>
          <c:val>
            <c:numRef>
              <c:f>Calculator!$B$49:$B$53</c:f>
              <c:numCache>
                <c:formatCode>0.0000</c:formatCode>
                <c:ptCount val="5"/>
                <c:pt idx="0">
                  <c:v>0.22884884180244081</c:v>
                </c:pt>
                <c:pt idx="1">
                  <c:v>0.15589999814023289</c:v>
                </c:pt>
                <c:pt idx="2">
                  <c:v>4.7519122952831637E-2</c:v>
                </c:pt>
                <c:pt idx="3">
                  <c:v>3.156929757512953E-2</c:v>
                </c:pt>
                <c:pt idx="4">
                  <c:v>7.6810943005181332E-3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E38-43BB-81BB-FD428B358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4030147273257507"/>
          <c:w val="1"/>
          <c:h val="0.25506889763779528"/>
        </c:manualLayout>
      </c:layout>
      <c:overlay val="0"/>
      <c:spPr>
        <a:noFill/>
        <a:ln w="9525"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150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150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IC</a:t>
            </a:r>
            <a:r>
              <a:rPr lang="en-US" b="1" baseline="0"/>
              <a:t> Losses Breakdown @VIN_typ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150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2541666666666668"/>
          <c:w val="1"/>
          <c:h val="0.605625546806649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FD0-43B7-B234-DB16E3E6F75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0FD0-43B7-B234-DB16E3E6F75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0FD0-43B7-B234-DB16E3E6F75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0FD0-43B7-B234-DB16E3E6F75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0FD0-43B7-B234-DB16E3E6F75A}"/>
              </c:ext>
            </c:extLst>
          </c:dPt>
          <c:cat>
            <c:strLit>
              <c:ptCount val="5"/>
              <c:pt idx="0">
                <c:v>HS conduction</c:v>
              </c:pt>
              <c:pt idx="1">
                <c:v>LS conduction</c:v>
              </c:pt>
              <c:pt idx="2">
                <c:v>IV Overlap</c:v>
              </c:pt>
              <c:pt idx="3">
                <c:v>Coss</c:v>
              </c:pt>
              <c:pt idx="4">
                <c:v>Reverse Recovry Charge</c:v>
              </c:pt>
            </c:strLit>
          </c:cat>
          <c:val>
            <c:numRef>
              <c:f>Calculator!$C$49:$C$53</c:f>
              <c:numCache>
                <c:formatCode>0.0000</c:formatCode>
                <c:ptCount val="5"/>
                <c:pt idx="0">
                  <c:v>0.11813719249092125</c:v>
                </c:pt>
                <c:pt idx="1">
                  <c:v>0.24853337786712051</c:v>
                </c:pt>
                <c:pt idx="2">
                  <c:v>0.19229604014687871</c:v>
                </c:pt>
                <c:pt idx="3">
                  <c:v>0.12627719030051812</c:v>
                </c:pt>
                <c:pt idx="4">
                  <c:v>1.5362188601036266E-2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FD0-43B7-B234-DB16E3E6F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4030147273257507"/>
          <c:w val="1"/>
          <c:h val="0.25506889763779528"/>
        </c:manualLayout>
      </c:layout>
      <c:overlay val="0"/>
      <c:spPr>
        <a:noFill/>
        <a:ln w="9525"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150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150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IC</a:t>
            </a:r>
            <a:r>
              <a:rPr lang="en-US" b="1" baseline="0"/>
              <a:t> Losses Breakdown @VIN_max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150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2541666666666668"/>
          <c:w val="1"/>
          <c:h val="0.60562554680664926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6ED7-4D7A-AC0B-3C8E0D8C8C3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6ED7-4D7A-AC0B-3C8E0D8C8C3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6ED7-4D7A-AC0B-3C8E0D8C8C3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6ED7-4D7A-AC0B-3C8E0D8C8C3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6ED7-4D7A-AC0B-3C8E0D8C8C33}"/>
              </c:ext>
            </c:extLst>
          </c:dPt>
          <c:cat>
            <c:strLit>
              <c:ptCount val="5"/>
              <c:pt idx="0">
                <c:v>HS conduction</c:v>
              </c:pt>
              <c:pt idx="1">
                <c:v>LS conduction</c:v>
              </c:pt>
              <c:pt idx="2">
                <c:v>IV Overlap</c:v>
              </c:pt>
              <c:pt idx="3">
                <c:v>Coss</c:v>
              </c:pt>
              <c:pt idx="4">
                <c:v>Reverse Recovry Charge</c:v>
              </c:pt>
            </c:strLit>
          </c:cat>
          <c:val>
            <c:numRef>
              <c:f>Calculator!$D$49:$D$53</c:f>
              <c:numCache>
                <c:formatCode>0.0000</c:formatCode>
                <c:ptCount val="5"/>
                <c:pt idx="0">
                  <c:v>9.8433113336208619E-2</c:v>
                </c:pt>
                <c:pt idx="1">
                  <c:v>0.26542404240525869</c:v>
                </c:pt>
                <c:pt idx="2">
                  <c:v>0.2328184185782044</c:v>
                </c:pt>
                <c:pt idx="3">
                  <c:v>0.18437346708808289</c:v>
                </c:pt>
                <c:pt idx="4">
                  <c:v>1.8562644559585492E-2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ED7-4D7A-AC0B-3C8E0D8C8C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74030147273257507"/>
          <c:w val="1"/>
          <c:h val="0.25506889763779528"/>
        </c:manualLayout>
      </c:layout>
      <c:overlay val="0"/>
      <c:spPr>
        <a:noFill/>
        <a:ln w="9525"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150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150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LoopGain!$A$2:$A$66</c:f>
              <c:numCache>
                <c:formatCode>General</c:formatCode>
                <c:ptCount val="65"/>
                <c:pt idx="0">
                  <c:v>0.1</c:v>
                </c:pt>
                <c:pt idx="1">
                  <c:v>0.12</c:v>
                </c:pt>
                <c:pt idx="2">
                  <c:v>0.15</c:v>
                </c:pt>
                <c:pt idx="3">
                  <c:v>0.18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0.55000000000000004</c:v>
                </c:pt>
                <c:pt idx="12">
                  <c:v>0.6</c:v>
                </c:pt>
                <c:pt idx="13">
                  <c:v>0.7</c:v>
                </c:pt>
                <c:pt idx="14">
                  <c:v>0.8</c:v>
                </c:pt>
                <c:pt idx="15">
                  <c:v>0.9</c:v>
                </c:pt>
                <c:pt idx="16">
                  <c:v>1</c:v>
                </c:pt>
                <c:pt idx="17">
                  <c:v>1.2</c:v>
                </c:pt>
                <c:pt idx="18">
                  <c:v>1.5</c:v>
                </c:pt>
                <c:pt idx="19">
                  <c:v>1.8</c:v>
                </c:pt>
                <c:pt idx="20">
                  <c:v>2</c:v>
                </c:pt>
                <c:pt idx="21">
                  <c:v>2.5</c:v>
                </c:pt>
                <c:pt idx="22">
                  <c:v>3</c:v>
                </c:pt>
                <c:pt idx="23">
                  <c:v>3.5</c:v>
                </c:pt>
                <c:pt idx="24">
                  <c:v>4</c:v>
                </c:pt>
                <c:pt idx="25">
                  <c:v>4.5</c:v>
                </c:pt>
                <c:pt idx="26">
                  <c:v>5</c:v>
                </c:pt>
                <c:pt idx="27">
                  <c:v>5.5</c:v>
                </c:pt>
                <c:pt idx="28">
                  <c:v>6</c:v>
                </c:pt>
                <c:pt idx="29">
                  <c:v>7</c:v>
                </c:pt>
                <c:pt idx="30">
                  <c:v>8</c:v>
                </c:pt>
                <c:pt idx="31">
                  <c:v>9</c:v>
                </c:pt>
                <c:pt idx="32">
                  <c:v>10</c:v>
                </c:pt>
                <c:pt idx="33">
                  <c:v>12</c:v>
                </c:pt>
                <c:pt idx="34">
                  <c:v>15</c:v>
                </c:pt>
                <c:pt idx="35">
                  <c:v>18</c:v>
                </c:pt>
                <c:pt idx="36">
                  <c:v>20</c:v>
                </c:pt>
                <c:pt idx="37">
                  <c:v>25</c:v>
                </c:pt>
                <c:pt idx="38">
                  <c:v>30</c:v>
                </c:pt>
                <c:pt idx="39">
                  <c:v>35</c:v>
                </c:pt>
                <c:pt idx="40">
                  <c:v>40</c:v>
                </c:pt>
                <c:pt idx="41">
                  <c:v>45</c:v>
                </c:pt>
                <c:pt idx="42">
                  <c:v>50</c:v>
                </c:pt>
                <c:pt idx="43">
                  <c:v>55</c:v>
                </c:pt>
                <c:pt idx="44">
                  <c:v>60</c:v>
                </c:pt>
                <c:pt idx="45">
                  <c:v>70</c:v>
                </c:pt>
                <c:pt idx="46">
                  <c:v>80</c:v>
                </c:pt>
                <c:pt idx="47">
                  <c:v>90</c:v>
                </c:pt>
                <c:pt idx="48">
                  <c:v>100</c:v>
                </c:pt>
                <c:pt idx="49">
                  <c:v>120</c:v>
                </c:pt>
                <c:pt idx="50">
                  <c:v>150</c:v>
                </c:pt>
                <c:pt idx="51">
                  <c:v>180</c:v>
                </c:pt>
                <c:pt idx="52">
                  <c:v>200</c:v>
                </c:pt>
                <c:pt idx="53">
                  <c:v>250</c:v>
                </c:pt>
                <c:pt idx="54">
                  <c:v>300</c:v>
                </c:pt>
                <c:pt idx="55">
                  <c:v>350</c:v>
                </c:pt>
                <c:pt idx="56">
                  <c:v>400</c:v>
                </c:pt>
                <c:pt idx="57">
                  <c:v>450</c:v>
                </c:pt>
                <c:pt idx="58">
                  <c:v>500</c:v>
                </c:pt>
                <c:pt idx="59">
                  <c:v>550</c:v>
                </c:pt>
                <c:pt idx="60">
                  <c:v>600</c:v>
                </c:pt>
                <c:pt idx="61">
                  <c:v>700</c:v>
                </c:pt>
                <c:pt idx="62">
                  <c:v>800</c:v>
                </c:pt>
                <c:pt idx="63">
                  <c:v>900</c:v>
                </c:pt>
                <c:pt idx="64">
                  <c:v>1000</c:v>
                </c:pt>
              </c:numCache>
            </c:numRef>
          </c:xVal>
          <c:yVal>
            <c:numRef>
              <c:f>LoopGain!$L$2:$L$66</c:f>
              <c:numCache>
                <c:formatCode>0.00</c:formatCode>
                <c:ptCount val="65"/>
                <c:pt idx="0">
                  <c:v>77.769437575685615</c:v>
                </c:pt>
                <c:pt idx="1">
                  <c:v>75.446091102901661</c:v>
                </c:pt>
                <c:pt idx="2">
                  <c:v>72.079405586224723</c:v>
                </c:pt>
                <c:pt idx="3">
                  <c:v>68.873042002668001</c:v>
                </c:pt>
                <c:pt idx="4">
                  <c:v>66.831983884193505</c:v>
                </c:pt>
                <c:pt idx="5">
                  <c:v>62.085340735823479</c:v>
                </c:pt>
                <c:pt idx="6">
                  <c:v>57.854588001764888</c:v>
                </c:pt>
                <c:pt idx="7">
                  <c:v>54.123692356431725</c:v>
                </c:pt>
                <c:pt idx="8">
                  <c:v>50.857622673430512</c:v>
                </c:pt>
                <c:pt idx="9">
                  <c:v>48.012098151280263</c:v>
                </c:pt>
                <c:pt idx="10">
                  <c:v>45.540281481415981</c:v>
                </c:pt>
                <c:pt idx="11">
                  <c:v>43.396818283574817</c:v>
                </c:pt>
                <c:pt idx="12">
                  <c:v>41.539951638257186</c:v>
                </c:pt>
                <c:pt idx="13">
                  <c:v>38.541468972943136</c:v>
                </c:pt>
                <c:pt idx="14">
                  <c:v>36.300214006943833</c:v>
                </c:pt>
                <c:pt idx="15">
                  <c:v>34.634117339512478</c:v>
                </c:pt>
                <c:pt idx="16">
                  <c:v>33.409195881901105</c:v>
                </c:pt>
                <c:pt idx="17">
                  <c:v>31.912598889337005</c:v>
                </c:pt>
                <c:pt idx="18">
                  <c:v>31.189019715965074</c:v>
                </c:pt>
                <c:pt idx="19">
                  <c:v>31.505682120695212</c:v>
                </c:pt>
                <c:pt idx="20">
                  <c:v>32.052269870206175</c:v>
                </c:pt>
                <c:pt idx="21">
                  <c:v>34.040698960954899</c:v>
                </c:pt>
                <c:pt idx="22">
                  <c:v>36.420629865672161</c:v>
                </c:pt>
                <c:pt idx="23">
                  <c:v>38.868889794821094</c:v>
                </c:pt>
                <c:pt idx="24">
                  <c:v>41.232761388355009</c:v>
                </c:pt>
                <c:pt idx="25">
                  <c:v>43.440769074850948</c:v>
                </c:pt>
                <c:pt idx="26">
                  <c:v>45.463328248243705</c:v>
                </c:pt>
                <c:pt idx="27">
                  <c:v>47.29318844139447</c:v>
                </c:pt>
                <c:pt idx="28">
                  <c:v>48.934950859657683</c:v>
                </c:pt>
                <c:pt idx="29">
                  <c:v>51.699231316082603</c:v>
                </c:pt>
                <c:pt idx="30">
                  <c:v>53.862490068436962</c:v>
                </c:pt>
                <c:pt idx="31">
                  <c:v>55.531106267806436</c:v>
                </c:pt>
                <c:pt idx="32">
                  <c:v>56.796115691983118</c:v>
                </c:pt>
                <c:pt idx="33">
                  <c:v>58.394200624661636</c:v>
                </c:pt>
                <c:pt idx="34">
                  <c:v>59.160636823016318</c:v>
                </c:pt>
                <c:pt idx="35">
                  <c:v>58.633413167589438</c:v>
                </c:pt>
                <c:pt idx="36">
                  <c:v>57.766612969777348</c:v>
                </c:pt>
                <c:pt idx="37">
                  <c:v>54.211806045786638</c:v>
                </c:pt>
                <c:pt idx="38">
                  <c:v>48.926589362283906</c:v>
                </c:pt>
                <c:pt idx="39">
                  <c:v>41.879843620014718</c:v>
                </c:pt>
                <c:pt idx="40">
                  <c:v>32.824198991400046</c:v>
                </c:pt>
                <c:pt idx="41">
                  <c:v>21.498538031719519</c:v>
                </c:pt>
                <c:pt idx="42">
                  <c:v>7.9669406224484618</c:v>
                </c:pt>
                <c:pt idx="43">
                  <c:v>-6.9726372847220688</c:v>
                </c:pt>
                <c:pt idx="44">
                  <c:v>-21.822929802555294</c:v>
                </c:pt>
                <c:pt idx="45">
                  <c:v>-46.340952100720415</c:v>
                </c:pt>
                <c:pt idx="46">
                  <c:v>-62.760945321694805</c:v>
                </c:pt>
                <c:pt idx="47">
                  <c:v>-73.761208501930753</c:v>
                </c:pt>
                <c:pt idx="48">
                  <c:v>-81.649349743688248</c:v>
                </c:pt>
                <c:pt idx="49">
                  <c:v>-92.609500232859631</c:v>
                </c:pt>
                <c:pt idx="50">
                  <c:v>-103.52757782203707</c:v>
                </c:pt>
                <c:pt idx="51">
                  <c:v>-111.4532683526073</c:v>
                </c:pt>
                <c:pt idx="52">
                  <c:v>-115.8000926277181</c:v>
                </c:pt>
                <c:pt idx="53">
                  <c:v>-124.593395753474</c:v>
                </c:pt>
                <c:pt idx="54">
                  <c:v>-131.37333700630469</c:v>
                </c:pt>
                <c:pt idx="55">
                  <c:v>-136.77736679496459</c:v>
                </c:pt>
                <c:pt idx="56">
                  <c:v>-141.1758621899599</c:v>
                </c:pt>
                <c:pt idx="57">
                  <c:v>-144.81409393315141</c:v>
                </c:pt>
                <c:pt idx="58">
                  <c:v>-147.86468652826798</c:v>
                </c:pt>
                <c:pt idx="59">
                  <c:v>-150.45322678594874</c:v>
                </c:pt>
                <c:pt idx="60">
                  <c:v>-152.6731158062733</c:v>
                </c:pt>
                <c:pt idx="61">
                  <c:v>-156.27322237200974</c:v>
                </c:pt>
                <c:pt idx="62">
                  <c:v>-159.05845469243164</c:v>
                </c:pt>
                <c:pt idx="63">
                  <c:v>-161.27170707633641</c:v>
                </c:pt>
                <c:pt idx="64">
                  <c:v>-163.06975798021571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92C-4FDB-A6DE-0404817B8785}"/>
            </c:ext>
          </c:extLst>
        </c:ser>
        <c:ser>
          <c:idx val="1"/>
          <c:order val="1"/>
          <c:tx>
            <c:v>BW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(Calculator!$C$36,Calculator!$C$36)</c:f>
              <c:numCache>
                <c:formatCode>0.00</c:formatCode>
                <c:ptCount val="2"/>
                <c:pt idx="0">
                  <c:v>13.770853232064704</c:v>
                </c:pt>
                <c:pt idx="1">
                  <c:v>13.770853232064704</c:v>
                </c:pt>
              </c:numCache>
            </c:numRef>
          </c:xVal>
          <c:yVal>
            <c:numLit>
              <c:formatCode>General</c:formatCode>
              <c:ptCount val="2"/>
              <c:pt idx="0">
                <c:v>-900</c:v>
              </c:pt>
              <c:pt idx="1">
                <c:v>900</c:v>
              </c:pt>
            </c:numLit>
          </c:yVal>
          <c:smooth val="1"/>
          <c:extLst>
            <c:ext xmlns:c16="http://schemas.microsoft.com/office/drawing/2014/chart" uri="{C3380CC4-5D6E-409C-BE32-E72D297353CC}">
              <c16:uniqueId val="{00000001-E92C-4FDB-A6DE-0404817B8785}"/>
            </c:ext>
          </c:extLst>
        </c:ser>
        <c:ser>
          <c:idx val="2"/>
          <c:order val="2"/>
          <c:tx>
            <c:v>PM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star"/>
            <c:size val="9"/>
            <c:spPr>
              <a:noFill/>
              <a:ln w="19050">
                <a:solidFill>
                  <a:srgbClr val="EE0000"/>
                </a:solidFill>
              </a:ln>
              <a:effectLst/>
            </c:spPr>
          </c:marker>
          <c:xVal>
            <c:numRef>
              <c:f>Calculator!$C$36</c:f>
              <c:numCache>
                <c:formatCode>0.00</c:formatCode>
                <c:ptCount val="1"/>
                <c:pt idx="0">
                  <c:v>13.770853232064704</c:v>
                </c:pt>
              </c:numCache>
            </c:numRef>
          </c:xVal>
          <c:yVal>
            <c:numRef>
              <c:f>Calculator!$C$37</c:f>
              <c:numCache>
                <c:formatCode>0.00</c:formatCode>
                <c:ptCount val="1"/>
                <c:pt idx="0">
                  <c:v>59.03599812531499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92C-4FDB-A6DE-0404817B8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2240127"/>
        <c:axId val="426182847"/>
      </c:scatterChart>
      <c:valAx>
        <c:axId val="422240127"/>
        <c:scaling>
          <c:logBase val="10"/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freq [kHz]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150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150"/>
          </a:p>
        </c:txPr>
        <c:crossAx val="426182847"/>
        <c:crossesAt val="-90"/>
        <c:crossBetween val="midCat"/>
      </c:valAx>
      <c:valAx>
        <c:axId val="426182847"/>
        <c:scaling>
          <c:orientation val="minMax"/>
          <c:max val="90"/>
          <c:min val="-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Loop Phase [deg]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150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150"/>
          </a:p>
        </c:txPr>
        <c:crossAx val="422240127"/>
        <c:crossesAt val="0.1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/>
      </a:pPr>
      <a:endParaRPr lang="en-150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749612</xdr:colOff>
      <xdr:row>0</xdr:row>
      <xdr:rowOff>0</xdr:rowOff>
    </xdr:from>
    <xdr:to>
      <xdr:col>0</xdr:col>
      <xdr:colOff>2764390</xdr:colOff>
      <xdr:row>2</xdr:row>
      <xdr:rowOff>16600</xdr:rowOff>
    </xdr:to>
    <xdr:pic>
      <xdr:nvPicPr>
        <xdr:cNvPr id="2" name="Picture 1" descr="A close up of a sign&#10;&#10;Description automatically generated">
          <a:extLst>
            <a:ext uri="{FF2B5EF4-FFF2-40B4-BE49-F238E27FC236}">
              <a16:creationId xmlns:a16="http://schemas.microsoft.com/office/drawing/2014/main" id="{030F6401-92F8-BEED-79A2-CB59139ED4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9612" y="0"/>
          <a:ext cx="2020493" cy="796459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18</xdr:col>
      <xdr:colOff>608786</xdr:colOff>
      <xdr:row>22</xdr:row>
      <xdr:rowOff>26143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2216368-DC35-45A2-B2FB-AE01A4DC87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45</xdr:row>
      <xdr:rowOff>0</xdr:rowOff>
    </xdr:from>
    <xdr:to>
      <xdr:col>14</xdr:col>
      <xdr:colOff>214072</xdr:colOff>
      <xdr:row>55</xdr:row>
      <xdr:rowOff>48985</xdr:rowOff>
    </xdr:to>
    <xdr:graphicFrame macro="">
      <xdr:nvGraphicFramePr>
        <xdr:cNvPr id="24" name="Chart 23">
          <a:extLst>
            <a:ext uri="{FF2B5EF4-FFF2-40B4-BE49-F238E27FC236}">
              <a16:creationId xmlns:a16="http://schemas.microsoft.com/office/drawing/2014/main" id="{7B50BB25-35CD-4F5A-90C3-9E69DDD416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503465</xdr:colOff>
      <xdr:row>45</xdr:row>
      <xdr:rowOff>0</xdr:rowOff>
    </xdr:from>
    <xdr:to>
      <xdr:col>20</xdr:col>
      <xdr:colOff>105215</xdr:colOff>
      <xdr:row>55</xdr:row>
      <xdr:rowOff>48985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DA6206DF-EEF3-412F-9978-9BF5F82900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421823</xdr:colOff>
      <xdr:row>45</xdr:row>
      <xdr:rowOff>0</xdr:rowOff>
    </xdr:from>
    <xdr:to>
      <xdr:col>26</xdr:col>
      <xdr:colOff>23573</xdr:colOff>
      <xdr:row>55</xdr:row>
      <xdr:rowOff>48985</xdr:rowOff>
    </xdr:to>
    <xdr:graphicFrame macro="">
      <xdr:nvGraphicFramePr>
        <xdr:cNvPr id="26" name="Chart 25">
          <a:extLst>
            <a:ext uri="{FF2B5EF4-FFF2-40B4-BE49-F238E27FC236}">
              <a16:creationId xmlns:a16="http://schemas.microsoft.com/office/drawing/2014/main" id="{D1E92E61-BB5D-4ECF-90A2-958E861368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19</xdr:row>
      <xdr:rowOff>0</xdr:rowOff>
    </xdr:from>
    <xdr:to>
      <xdr:col>18</xdr:col>
      <xdr:colOff>608786</xdr:colOff>
      <xdr:row>37</xdr:row>
      <xdr:rowOff>94179</xdr:rowOff>
    </xdr:to>
    <xdr:graphicFrame macro="">
      <xdr:nvGraphicFramePr>
        <xdr:cNvPr id="27" name="Chart 26">
          <a:extLst>
            <a:ext uri="{FF2B5EF4-FFF2-40B4-BE49-F238E27FC236}">
              <a16:creationId xmlns:a16="http://schemas.microsoft.com/office/drawing/2014/main" id="{7EB76BF9-FB46-414A-A640-82BBEE88D2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0">
  <rv s="0">
    <v>0</v>
    <v>5</v>
  </rv>
  <rv s="0">
    <v>1</v>
    <v>5</v>
  </rv>
  <rv s="0">
    <v>2</v>
    <v>5</v>
  </rv>
  <rv s="0">
    <v>3</v>
    <v>5</v>
  </rv>
  <rv s="0">
    <v>4</v>
    <v>5</v>
  </rv>
  <rv s="0">
    <v>5</v>
    <v>5</v>
  </rv>
  <rv s="0">
    <v>6</v>
    <v>5</v>
  </rv>
  <rv s="0">
    <v>7</v>
    <v>5</v>
  </rv>
  <rv s="0">
    <v>8</v>
    <v>5</v>
  </rv>
  <rv s="0">
    <v>9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  <rel r:id="rId2"/>
  <rel r:id="rId3"/>
  <rel r:id="rId4"/>
  <rel r:id="rId5"/>
  <rel r:id="rId6"/>
  <rel r:id="rId7"/>
  <rel r:id="rId8"/>
  <rel r:id="rId9"/>
  <rel r:id="rId10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E3CF05-148C-42A2-90F9-CDE6A9DE8355}">
  <dimension ref="A1:AA57"/>
  <sheetViews>
    <sheetView tabSelected="1" topLeftCell="A18" zoomScale="55" zoomScaleNormal="55" workbookViewId="0">
      <selection activeCell="C42" sqref="C42"/>
    </sheetView>
  </sheetViews>
  <sheetFormatPr defaultRowHeight="14.4" x14ac:dyDescent="0.3"/>
  <cols>
    <col min="1" max="1" width="51" style="17" bestFit="1" customWidth="1"/>
    <col min="2" max="3" width="17.33203125" style="2" customWidth="1"/>
    <col min="4" max="4" width="18.33203125" style="2" customWidth="1"/>
    <col min="5" max="5" width="12" style="2" customWidth="1"/>
    <col min="6" max="6" width="69.5546875" bestFit="1" customWidth="1"/>
    <col min="7" max="7" width="9.109375" customWidth="1"/>
  </cols>
  <sheetData>
    <row r="1" spans="1:27" ht="22.2" customHeight="1" x14ac:dyDescent="0.3">
      <c r="A1" s="60"/>
      <c r="B1" s="61" t="s">
        <v>0</v>
      </c>
      <c r="C1" s="61"/>
      <c r="D1" s="61"/>
      <c r="E1" s="61"/>
      <c r="F1" s="61"/>
    </row>
    <row r="2" spans="1:27" ht="39" customHeight="1" x14ac:dyDescent="0.3">
      <c r="A2" s="60"/>
      <c r="B2" s="62" t="s">
        <v>1</v>
      </c>
      <c r="C2" s="62"/>
      <c r="D2" s="62"/>
      <c r="E2" s="62"/>
      <c r="F2" s="62"/>
      <c r="U2" s="51"/>
      <c r="V2" s="51"/>
      <c r="W2" s="51"/>
      <c r="X2" s="51"/>
      <c r="Y2" s="51"/>
      <c r="Z2" s="51"/>
      <c r="AA2" s="51"/>
    </row>
    <row r="3" spans="1:27" ht="18" x14ac:dyDescent="0.3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H3" s="52" t="s">
        <v>118</v>
      </c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4"/>
    </row>
    <row r="4" spans="1:27" ht="16.8" x14ac:dyDescent="0.3">
      <c r="A4" s="15" t="s">
        <v>76</v>
      </c>
      <c r="B4" s="5"/>
      <c r="C4" s="5"/>
      <c r="D4" s="4">
        <v>125</v>
      </c>
      <c r="E4" s="32" t="s">
        <v>78</v>
      </c>
      <c r="F4" s="6"/>
      <c r="H4" s="48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50"/>
    </row>
    <row r="5" spans="1:27" x14ac:dyDescent="0.3">
      <c r="A5" s="15" t="s">
        <v>8</v>
      </c>
      <c r="B5" s="4">
        <v>24</v>
      </c>
      <c r="C5" s="4">
        <v>48</v>
      </c>
      <c r="D5" s="4">
        <v>58</v>
      </c>
      <c r="E5" s="5" t="s">
        <v>9</v>
      </c>
      <c r="F5" s="6"/>
      <c r="H5" s="42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4"/>
    </row>
    <row r="6" spans="1:27" x14ac:dyDescent="0.3">
      <c r="A6" s="15" t="s">
        <v>10</v>
      </c>
      <c r="B6" s="5"/>
      <c r="C6" s="3"/>
      <c r="D6" s="4">
        <v>12</v>
      </c>
      <c r="E6" s="5" t="s">
        <v>9</v>
      </c>
      <c r="F6" s="6" t="s">
        <v>11</v>
      </c>
      <c r="H6" s="42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4"/>
    </row>
    <row r="7" spans="1:27" x14ac:dyDescent="0.3">
      <c r="A7" s="15" t="s">
        <v>12</v>
      </c>
      <c r="B7" s="5"/>
      <c r="C7" s="5"/>
      <c r="D7" s="4">
        <v>1.5</v>
      </c>
      <c r="E7" s="5" t="s">
        <v>13</v>
      </c>
      <c r="F7" s="6" t="s">
        <v>14</v>
      </c>
      <c r="H7" s="42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4"/>
    </row>
    <row r="8" spans="1:27" x14ac:dyDescent="0.3">
      <c r="A8" s="15" t="s">
        <v>15</v>
      </c>
      <c r="B8" s="5"/>
      <c r="C8" s="4" t="s">
        <v>16</v>
      </c>
      <c r="D8" s="5"/>
      <c r="E8" s="5"/>
      <c r="F8" s="6"/>
      <c r="H8" s="42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4"/>
    </row>
    <row r="9" spans="1:27" x14ac:dyDescent="0.3">
      <c r="A9" s="15" t="s">
        <v>17</v>
      </c>
      <c r="B9" s="5"/>
      <c r="C9" s="4" t="s">
        <v>18</v>
      </c>
      <c r="D9" s="5"/>
      <c r="E9" s="5"/>
      <c r="F9" s="6" t="s">
        <v>19</v>
      </c>
      <c r="H9" s="42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4"/>
    </row>
    <row r="10" spans="1:27" x14ac:dyDescent="0.3">
      <c r="A10" s="15" t="s">
        <v>20</v>
      </c>
      <c r="B10" s="5"/>
      <c r="C10" s="27" t="s">
        <v>120</v>
      </c>
      <c r="D10" s="5"/>
      <c r="E10" s="5"/>
      <c r="F10" s="6" t="s">
        <v>21</v>
      </c>
      <c r="H10" s="42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4"/>
    </row>
    <row r="11" spans="1:27" x14ac:dyDescent="0.3">
      <c r="A11" s="15" t="s">
        <v>22</v>
      </c>
      <c r="B11" s="5"/>
      <c r="C11" s="4">
        <v>400</v>
      </c>
      <c r="D11" s="5"/>
      <c r="E11" s="5" t="s">
        <v>73</v>
      </c>
      <c r="F11" s="6" t="s">
        <v>23</v>
      </c>
      <c r="H11" s="42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4"/>
    </row>
    <row r="12" spans="1:27" x14ac:dyDescent="0.3">
      <c r="A12" s="15" t="s">
        <v>24</v>
      </c>
      <c r="B12" s="5"/>
      <c r="C12" s="4" t="s">
        <v>18</v>
      </c>
      <c r="D12" s="5"/>
      <c r="E12" s="5"/>
      <c r="F12" s="6" t="s">
        <v>25</v>
      </c>
      <c r="H12" s="42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4"/>
    </row>
    <row r="13" spans="1:27" x14ac:dyDescent="0.3">
      <c r="A13" s="15" t="s">
        <v>66</v>
      </c>
      <c r="B13" s="5"/>
      <c r="C13" s="4" t="s">
        <v>16</v>
      </c>
      <c r="D13" s="5"/>
      <c r="E13" s="5"/>
      <c r="F13" s="6" t="s">
        <v>67</v>
      </c>
      <c r="H13" s="42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4"/>
    </row>
    <row r="14" spans="1:27" x14ac:dyDescent="0.3">
      <c r="A14" s="15" t="s">
        <v>26</v>
      </c>
      <c r="B14" s="5"/>
      <c r="C14" s="4">
        <v>10</v>
      </c>
      <c r="D14" s="5"/>
      <c r="E14" s="5" t="s">
        <v>27</v>
      </c>
      <c r="F14" s="6" t="s">
        <v>81</v>
      </c>
      <c r="H14" s="42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4"/>
    </row>
    <row r="15" spans="1:27" x14ac:dyDescent="0.3">
      <c r="A15" s="15" t="s">
        <v>84</v>
      </c>
      <c r="B15" s="5"/>
      <c r="C15" s="4">
        <v>0.14699999999999999</v>
      </c>
      <c r="D15" s="5"/>
      <c r="E15" s="5" t="s">
        <v>28</v>
      </c>
      <c r="F15" s="6"/>
      <c r="H15" s="42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4"/>
    </row>
    <row r="16" spans="1:27" x14ac:dyDescent="0.3">
      <c r="A16" s="15" t="s">
        <v>85</v>
      </c>
      <c r="B16" s="5"/>
      <c r="C16" s="4">
        <v>4.25</v>
      </c>
      <c r="D16" s="5"/>
      <c r="E16" s="5" t="s">
        <v>28</v>
      </c>
      <c r="F16" s="6" t="s">
        <v>86</v>
      </c>
      <c r="H16" s="42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4"/>
    </row>
    <row r="17" spans="1:20" ht="18" x14ac:dyDescent="0.3">
      <c r="A17" s="62" t="s">
        <v>29</v>
      </c>
      <c r="B17" s="62"/>
      <c r="C17" s="62"/>
      <c r="D17" s="62"/>
      <c r="E17" s="62"/>
      <c r="F17" s="62"/>
      <c r="H17" s="42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4"/>
    </row>
    <row r="18" spans="1:20" ht="18" x14ac:dyDescent="0.3">
      <c r="A18" s="55" t="s">
        <v>30</v>
      </c>
      <c r="B18" s="55"/>
      <c r="C18" s="55"/>
      <c r="D18" s="55"/>
      <c r="E18" s="55"/>
      <c r="F18" s="55"/>
      <c r="H18" s="42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4"/>
    </row>
    <row r="19" spans="1:20" x14ac:dyDescent="0.3">
      <c r="A19" s="16" t="s">
        <v>31</v>
      </c>
      <c r="B19" s="63" t="str">
        <f>IF(C8="Internal",IF(C9="Yes","Connect SYNC pin to VCC","Connect SYNC pin to GND"),"Apply external Clock signal to SYNC pin")</f>
        <v>Connect SYNC pin to VCC</v>
      </c>
      <c r="C19" s="64"/>
      <c r="D19" s="65"/>
      <c r="E19" s="7"/>
      <c r="F19" s="7"/>
      <c r="H19" s="42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4"/>
    </row>
    <row r="20" spans="1:20" x14ac:dyDescent="0.3">
      <c r="A20" s="16" t="s">
        <v>32</v>
      </c>
      <c r="B20" s="58" t="str">
        <f>IF(C8="Internal",IF(C10="RFSET","Connect resistor from FSET to GND","Connect FSET pin to VCC"),"Connect resistor from FSET to GND")</f>
        <v>Connect resistor from FSET to GND</v>
      </c>
      <c r="C20" s="58"/>
      <c r="D20" s="58"/>
      <c r="E20" s="9"/>
      <c r="F20" s="8"/>
      <c r="H20" s="42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4"/>
    </row>
    <row r="21" spans="1:20" x14ac:dyDescent="0.3">
      <c r="A21" s="16" t="s">
        <v>33</v>
      </c>
      <c r="B21" s="9"/>
      <c r="C21" s="11">
        <f>79200/(C11-27)-7.3</f>
        <v>205.03243967828416</v>
      </c>
      <c r="D21" s="9"/>
      <c r="E21" s="9" t="s">
        <v>34</v>
      </c>
      <c r="F21" s="8" t="s">
        <v>35</v>
      </c>
      <c r="H21" s="42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4"/>
    </row>
    <row r="22" spans="1:20" x14ac:dyDescent="0.3">
      <c r="A22" s="16" t="s">
        <v>36</v>
      </c>
      <c r="B22" s="9"/>
      <c r="C22" s="4">
        <v>205</v>
      </c>
      <c r="D22" s="9"/>
      <c r="E22" s="9" t="s">
        <v>34</v>
      </c>
      <c r="F22" s="8" t="s">
        <v>37</v>
      </c>
      <c r="H22" s="42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4"/>
    </row>
    <row r="23" spans="1:20" x14ac:dyDescent="0.3">
      <c r="A23" s="16" t="s">
        <v>38</v>
      </c>
      <c r="B23" s="9"/>
      <c r="C23" s="26">
        <f>IF(C10="Default",2150,(79200/(C22+7.3)+27))</f>
        <v>400.05699481865281</v>
      </c>
      <c r="D23" s="9"/>
      <c r="E23" s="9" t="s">
        <v>73</v>
      </c>
      <c r="F23" s="8"/>
      <c r="H23" s="42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4"/>
    </row>
    <row r="24" spans="1:20" ht="14.4" customHeight="1" x14ac:dyDescent="0.3">
      <c r="A24" s="16" t="s">
        <v>71</v>
      </c>
      <c r="B24" s="12">
        <f>7250/C23</f>
        <v>18.122417790211241</v>
      </c>
      <c r="C24" s="9"/>
      <c r="D24" s="9"/>
      <c r="E24" s="9" t="s">
        <v>39</v>
      </c>
      <c r="F24" s="56" t="s">
        <v>72</v>
      </c>
      <c r="H24" s="42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4"/>
    </row>
    <row r="25" spans="1:20" x14ac:dyDescent="0.3">
      <c r="A25" s="16" t="s">
        <v>70</v>
      </c>
      <c r="B25" s="9"/>
      <c r="C25" s="28">
        <v>18</v>
      </c>
      <c r="D25" s="9"/>
      <c r="E25" s="9" t="s">
        <v>39</v>
      </c>
      <c r="F25" s="57"/>
      <c r="H25" s="42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4"/>
    </row>
    <row r="26" spans="1:20" x14ac:dyDescent="0.3">
      <c r="A26" s="16" t="s">
        <v>40</v>
      </c>
      <c r="B26" s="11">
        <f>164000/(D6*C23)</f>
        <v>34.161799052811993</v>
      </c>
      <c r="C26" s="9"/>
      <c r="D26" s="12">
        <f>1500/D6</f>
        <v>125</v>
      </c>
      <c r="E26" s="9" t="s">
        <v>41</v>
      </c>
      <c r="F26" s="22"/>
      <c r="H26" s="42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4"/>
    </row>
    <row r="27" spans="1:20" x14ac:dyDescent="0.3">
      <c r="A27" s="16" t="s">
        <v>103</v>
      </c>
      <c r="B27" s="11"/>
      <c r="C27" s="4">
        <v>47</v>
      </c>
      <c r="D27" s="12"/>
      <c r="E27" s="9" t="s">
        <v>41</v>
      </c>
      <c r="F27" s="22"/>
      <c r="H27" s="42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4"/>
    </row>
    <row r="28" spans="1:20" x14ac:dyDescent="0.3">
      <c r="A28" s="16" t="s">
        <v>42</v>
      </c>
      <c r="B28" s="9"/>
      <c r="C28" s="9" t="str">
        <f>IF(D6=3.3,"VS1=0,VS2=0",IF(D6=5,"VS1=0,VS2=1",IF(D6=5.35,"VS1=1,VS2=0","VS1=1,VS2=1")))</f>
        <v>VS1=1,VS2=1</v>
      </c>
      <c r="D28" s="9"/>
      <c r="E28" s="9"/>
      <c r="F28" s="22"/>
      <c r="H28" s="42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4"/>
    </row>
    <row r="29" spans="1:20" x14ac:dyDescent="0.3">
      <c r="A29" s="16" t="s">
        <v>43</v>
      </c>
      <c r="B29" s="58" t="str">
        <f>IF(C12="Yes","Connect LP/PWM pin to GND","Connect LP/PWM pin to VCC")</f>
        <v>Connect LP/PWM pin to GND</v>
      </c>
      <c r="C29" s="58"/>
      <c r="D29" s="58"/>
      <c r="E29" s="9"/>
      <c r="F29" s="8"/>
      <c r="H29" s="42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4"/>
    </row>
    <row r="30" spans="1:20" x14ac:dyDescent="0.3">
      <c r="A30" s="16" t="s">
        <v>44</v>
      </c>
      <c r="B30" s="59" t="str">
        <f>IF(C13="Internal","Connect SS pin to VCC", "Connect cpacitor from SS pin to GND")</f>
        <v>Connect SS pin to VCC</v>
      </c>
      <c r="C30" s="59"/>
      <c r="D30" s="59"/>
      <c r="E30" s="9"/>
      <c r="F30" s="8"/>
      <c r="H30" s="42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4"/>
    </row>
    <row r="31" spans="1:20" x14ac:dyDescent="0.3">
      <c r="A31" s="16" t="s">
        <v>45</v>
      </c>
      <c r="B31" s="9"/>
      <c r="C31" s="13">
        <f>C14/0.22</f>
        <v>45.454545454545453</v>
      </c>
      <c r="D31" s="9"/>
      <c r="E31" s="9" t="s">
        <v>46</v>
      </c>
      <c r="F31" s="8"/>
      <c r="H31" s="42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4"/>
    </row>
    <row r="32" spans="1:20" x14ac:dyDescent="0.3">
      <c r="A32" s="16" t="s">
        <v>47</v>
      </c>
      <c r="B32" s="9"/>
      <c r="C32" s="4">
        <v>47</v>
      </c>
      <c r="D32" s="9"/>
      <c r="E32" s="9" t="s">
        <v>46</v>
      </c>
      <c r="F32" s="8" t="s">
        <v>80</v>
      </c>
      <c r="H32" s="42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4"/>
    </row>
    <row r="33" spans="1:27" x14ac:dyDescent="0.3">
      <c r="A33" s="16" t="s">
        <v>48</v>
      </c>
      <c r="B33" s="9"/>
      <c r="C33" s="9">
        <f>IF(C13="Internal",0.7,0.22*C32)</f>
        <v>0.7</v>
      </c>
      <c r="D33" s="9"/>
      <c r="E33" s="9" t="s">
        <v>27</v>
      </c>
      <c r="F33" s="8"/>
      <c r="H33" s="42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4"/>
    </row>
    <row r="34" spans="1:27" ht="18" x14ac:dyDescent="0.3">
      <c r="A34" s="55" t="s">
        <v>100</v>
      </c>
      <c r="B34" s="55"/>
      <c r="C34" s="55"/>
      <c r="D34" s="55"/>
      <c r="E34" s="55"/>
      <c r="F34" s="55"/>
      <c r="H34" s="42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4"/>
    </row>
    <row r="35" spans="1:27" x14ac:dyDescent="0.3">
      <c r="A35" s="16" t="s">
        <v>105</v>
      </c>
      <c r="B35" s="9"/>
      <c r="C35" s="26">
        <f>1/PI()/(0.000133*C25*C23+((1-EXP(-C39/C23/150*1000000))/(1-EXP(-1/C23/150*1000000))-C39)-0.5)</f>
        <v>0.26859868287559746</v>
      </c>
      <c r="D35" s="9"/>
      <c r="E35" s="9"/>
      <c r="F35" s="8"/>
      <c r="H35" s="42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4"/>
    </row>
    <row r="36" spans="1:27" x14ac:dyDescent="0.3">
      <c r="A36" s="16" t="s">
        <v>101</v>
      </c>
      <c r="B36" s="9"/>
      <c r="C36" s="26">
        <f>48800/2/PI()/D6/C27</f>
        <v>13.770853232064704</v>
      </c>
      <c r="D36" s="9"/>
      <c r="E36" s="9" t="s">
        <v>73</v>
      </c>
      <c r="F36" s="8"/>
      <c r="H36" s="42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4"/>
    </row>
    <row r="37" spans="1:27" x14ac:dyDescent="0.3">
      <c r="A37" s="16" t="s">
        <v>102</v>
      </c>
      <c r="B37" s="9"/>
      <c r="C37" s="26">
        <f>90+(-ATAN(C36/LoopGain!D2)+ATAN(C36/LoopGain!E2)-ATAN(C36/LoopGain!F2)-IF(ATAN(C36/LoopGain!J2/LoopGain!G2/(1-(C36/LoopGain!G2)^2))&gt;0,ATAN(C36/LoopGain!J2/LoopGain!G2/(1-(C36/LoopGain!G2)^2)),PI()+ATAN(C36/LoopGain!J2/LoopGain!G2/(1-(C36/LoopGain!G2)^2))))*180/PI()</f>
        <v>59.03599812531499</v>
      </c>
      <c r="D37" s="9"/>
      <c r="E37" s="40" t="s">
        <v>104</v>
      </c>
      <c r="F37" s="8"/>
      <c r="H37" s="42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4"/>
    </row>
    <row r="38" spans="1:27" ht="18" x14ac:dyDescent="0.3">
      <c r="A38" s="55" t="s">
        <v>49</v>
      </c>
      <c r="B38" s="55"/>
      <c r="C38" s="55"/>
      <c r="D38" s="55"/>
      <c r="E38" s="55"/>
      <c r="F38" s="55"/>
      <c r="H38" s="45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7"/>
    </row>
    <row r="39" spans="1:27" ht="25.2" customHeight="1" x14ac:dyDescent="0.3">
      <c r="A39" s="16" t="s">
        <v>50</v>
      </c>
      <c r="B39" s="29">
        <f>IF(((D6+(B48*(C15+Parameters!B4)))/(B5-(B48*(Parameters!B3-Parameters!B4))))&gt;0.99,"Increase Vin",((D6+(B48*(C15+Parameters!B4)))/(B5-(B48*(Parameters!B3-Parameters!B4)))))</f>
        <v>0.51960626482138583</v>
      </c>
      <c r="C39" s="29">
        <f>IF(((D6+(C48*(C15+Parameters!B4)))/(C5-(C48*(Parameters!B3-Parameters!B4))))&gt;0.99,"Increase Vin",((D6+(C48*(C15+Parameters!B4)))/(C5-(C48*(Parameters!B3-Parameters!B4)))))</f>
        <v>0.25939561805323624</v>
      </c>
      <c r="D39" s="29">
        <f>IF(((D6+(D48*(C15+Parameters!B4)))/(D5-(D48*(Parameters!B3-Parameters!B4))))&gt;0.99,"Increase Vin",((D6+(D48*(C15+Parameters!B4)))/(D5-(D48*(Parameters!B3-Parameters!B4)))))</f>
        <v>0.21461419541931054</v>
      </c>
      <c r="E39" s="9"/>
      <c r="F39" s="8" t="e" vm="1">
        <v>#VALUE!</v>
      </c>
    </row>
    <row r="40" spans="1:27" x14ac:dyDescent="0.3">
      <c r="A40" s="16" t="s">
        <v>74</v>
      </c>
      <c r="B40" s="10">
        <f>B5*(1-B39)*B39/(C25*0.000001)/(C23*1000)</f>
        <v>0.83193344152676796</v>
      </c>
      <c r="C40" s="10">
        <f>C5*(1-C39)*C39/(C25*0.000001)/(C23*1000)</f>
        <v>1.2805477477867855</v>
      </c>
      <c r="D40" s="10">
        <f>D5*(1-D39)*D39/(C25*0.000001)/(C23*1000)</f>
        <v>1.3576102619486152</v>
      </c>
      <c r="E40" s="9" t="s">
        <v>13</v>
      </c>
      <c r="F40" s="8"/>
    </row>
    <row r="41" spans="1:27" ht="18" x14ac:dyDescent="0.3">
      <c r="A41" s="55" t="s">
        <v>51</v>
      </c>
      <c r="B41" s="55"/>
      <c r="C41" s="55"/>
      <c r="D41" s="55"/>
      <c r="E41" s="55"/>
      <c r="F41" s="55"/>
    </row>
    <row r="42" spans="1:27" x14ac:dyDescent="0.3">
      <c r="A42" s="19" t="s">
        <v>52</v>
      </c>
      <c r="B42" s="9"/>
      <c r="C42" s="26">
        <f>IF(D39="Increase Vin",D39,(D39/C23*10^6))</f>
        <v>536.45905008259103</v>
      </c>
      <c r="D42" s="20"/>
      <c r="E42" s="9" t="s">
        <v>53</v>
      </c>
      <c r="F42" s="25" t="str">
        <f>IF(C42="Increase Vin",C42,(IF(C42&gt;35," ","ton is lower than specified minimum ton value of 35ns")))</f>
        <v xml:space="preserve"> </v>
      </c>
    </row>
    <row r="43" spans="1:27" x14ac:dyDescent="0.3">
      <c r="A43" s="19" t="s">
        <v>54</v>
      </c>
      <c r="B43" s="20"/>
      <c r="C43" s="26">
        <f>IF(B39="Increase Vin",B39,((1/C23*10^6)-(B39/C23*10^6)))</f>
        <v>1200.813237614751</v>
      </c>
      <c r="D43" s="9"/>
      <c r="E43" s="9" t="s">
        <v>53</v>
      </c>
      <c r="F43" s="25" t="str">
        <f>IF(C43="Increase Vin",C43,(IF(C43&gt;80,"","toff is lower than specified minimum ton value of 80ns")))</f>
        <v/>
      </c>
    </row>
    <row r="44" spans="1:27" ht="18" x14ac:dyDescent="0.3">
      <c r="A44" s="55" t="s">
        <v>121</v>
      </c>
      <c r="B44" s="55"/>
      <c r="C44" s="55"/>
      <c r="D44" s="55"/>
      <c r="E44" s="55"/>
      <c r="F44" s="55"/>
      <c r="H44" s="52" t="s">
        <v>119</v>
      </c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4"/>
    </row>
    <row r="45" spans="1:27" x14ac:dyDescent="0.3">
      <c r="A45" s="21"/>
      <c r="B45" s="18" t="s">
        <v>55</v>
      </c>
      <c r="C45" s="18" t="s">
        <v>56</v>
      </c>
      <c r="D45" s="33" t="s">
        <v>57</v>
      </c>
      <c r="E45" s="16"/>
      <c r="F45" s="30"/>
      <c r="H45" s="48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50"/>
    </row>
    <row r="46" spans="1:27" x14ac:dyDescent="0.3">
      <c r="A46" s="21" t="s">
        <v>98</v>
      </c>
      <c r="B46" s="38">
        <f>(Parameters!B6*Parameters!B5+0.0000000038)*C23*1000</f>
        <v>3.450331557512953E-3</v>
      </c>
      <c r="C46" s="38">
        <f>(Parameters!B6*Parameters!B5+0.0000000038)*C23*1000</f>
        <v>3.450331557512953E-3</v>
      </c>
      <c r="D46" s="39">
        <f>(Parameters!B6*Parameters!B5+0.0000000038)*C23*1000</f>
        <v>3.450331557512953E-3</v>
      </c>
      <c r="E46" s="9" t="s">
        <v>13</v>
      </c>
      <c r="F46" s="30" t="e" vm="2">
        <v>#VALUE!</v>
      </c>
      <c r="H46" s="42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4"/>
    </row>
    <row r="47" spans="1:27" x14ac:dyDescent="0.3">
      <c r="A47" s="21" t="s">
        <v>83</v>
      </c>
      <c r="B47" s="10">
        <f>B46*D6</f>
        <v>4.1403978690155434E-2</v>
      </c>
      <c r="C47" s="10">
        <f>C46*D6</f>
        <v>4.1403978690155434E-2</v>
      </c>
      <c r="D47" s="10">
        <f>D46*D6</f>
        <v>4.1403978690155434E-2</v>
      </c>
      <c r="E47" s="9" t="s">
        <v>58</v>
      </c>
      <c r="F47" s="8" t="e" vm="3">
        <v>#VALUE!</v>
      </c>
      <c r="H47" s="42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4"/>
    </row>
    <row r="48" spans="1:27" x14ac:dyDescent="0.3">
      <c r="A48" s="21" t="s">
        <v>99</v>
      </c>
      <c r="B48" s="10">
        <f>D7+B46</f>
        <v>1.503450331557513</v>
      </c>
      <c r="C48" s="10">
        <f>D7+C46</f>
        <v>1.503450331557513</v>
      </c>
      <c r="D48" s="10">
        <f>D7+D46</f>
        <v>1.503450331557513</v>
      </c>
      <c r="E48" s="9"/>
      <c r="F48" s="8" t="e" vm="4">
        <v>#VALUE!</v>
      </c>
      <c r="H48" s="42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4"/>
    </row>
    <row r="49" spans="1:27" ht="31.2" customHeight="1" x14ac:dyDescent="0.3">
      <c r="A49" s="21" t="s">
        <v>59</v>
      </c>
      <c r="B49" s="10">
        <f>(Parameters!B3)*B39*(1+((B40/2/B48)^2)/3)*B48^2</f>
        <v>0.22884884180244081</v>
      </c>
      <c r="C49" s="10">
        <f>(Parameters!B3)*C39*(1+((C40/2/C48)^2)/3)*C48^2</f>
        <v>0.11813719249092125</v>
      </c>
      <c r="D49" s="10">
        <f>(Parameters!B3)*D39*(1+((D40/2/D48)^2)/3)*D48^2</f>
        <v>9.8433113336208619E-2</v>
      </c>
      <c r="E49" s="9" t="s">
        <v>58</v>
      </c>
      <c r="F49" s="8" t="e" vm="5">
        <v>#VALUE!</v>
      </c>
      <c r="H49" s="42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4"/>
    </row>
    <row r="50" spans="1:27" ht="31.2" customHeight="1" x14ac:dyDescent="0.3">
      <c r="A50" s="21" t="s">
        <v>60</v>
      </c>
      <c r="B50" s="10">
        <f>(Parameters!B4)*(1-B39)*(1+((B40/2/B48)^2)/3)*B48^2</f>
        <v>0.15589999814023289</v>
      </c>
      <c r="C50" s="10">
        <f>(Parameters!B4)*(1-C39)*(1+((C40/2/C48)^2)/3)*C48^2</f>
        <v>0.24853337786712051</v>
      </c>
      <c r="D50" s="10">
        <f>(Parameters!B4)*(1-D39)*(1+((D40/2/D48)^2)/3)*D48^2</f>
        <v>0.26542404240525869</v>
      </c>
      <c r="E50" s="9" t="s">
        <v>58</v>
      </c>
      <c r="F50" s="8" t="e" vm="6">
        <v>#VALUE!</v>
      </c>
      <c r="H50" s="42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4"/>
    </row>
    <row r="51" spans="1:27" ht="22.95" customHeight="1" x14ac:dyDescent="0.3">
      <c r="A51" s="21" t="s">
        <v>88</v>
      </c>
      <c r="B51" s="10">
        <f>IF(B48&gt;B40/2,B5*((B48-B40/2)*(B5/Parameters!B9/1000000000)+(B48+B40/2)*(B5/Parameters!B10/1000000000))*C23*1000/6,B5*(B48+B40/2)*(B5/Parameters!B10/1000000000)*C23*1000/6)</f>
        <v>4.7519122952831637E-2</v>
      </c>
      <c r="C51" s="10">
        <f>IF(C48&gt;C40/2,C5*((C48-C40/2)*(C5/Parameters!B9/1000000000)+(C48+C40/2)*(C5/Parameters!B10/1000000000))*C23*1000/6,C5*(C48+C40/2)*(C5/Parameters!B10/1000000000)*C23*1000/6)</f>
        <v>0.19229604014687871</v>
      </c>
      <c r="D51" s="10">
        <f>IF(D48&gt;D40/2,C5*((D48-D40/2)*(D5/Parameters!B9/1000000000)+(D48+D40/2)*(D5/Parameters!B10/1000000000))*C23*1000/6,D5*(D48+D40/2)*(D5/Parameters!B10/1000000000)*C23*1000/6)</f>
        <v>0.2328184185782044</v>
      </c>
      <c r="E51" s="9" t="s">
        <v>58</v>
      </c>
      <c r="F51" s="8" t="e" vm="7">
        <v>#VALUE!</v>
      </c>
      <c r="H51" s="42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4"/>
    </row>
    <row r="52" spans="1:27" ht="25.2" customHeight="1" x14ac:dyDescent="0.3">
      <c r="A52" s="21" t="s">
        <v>89</v>
      </c>
      <c r="B52" s="10">
        <f>Parameters!B7*B5^2*C23*1000/2</f>
        <v>3.156929757512953E-2</v>
      </c>
      <c r="C52" s="10">
        <f>Parameters!B7*C5^2*C23*1000/2</f>
        <v>0.12627719030051812</v>
      </c>
      <c r="D52" s="10">
        <f>Parameters!B7*D5^2*C23*1000/2</f>
        <v>0.18437346708808289</v>
      </c>
      <c r="E52" s="9" t="s">
        <v>58</v>
      </c>
      <c r="F52" s="8" t="e" vm="8">
        <v>#VALUE!</v>
      </c>
      <c r="H52" s="42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4"/>
    </row>
    <row r="53" spans="1:27" ht="16.95" customHeight="1" x14ac:dyDescent="0.3">
      <c r="A53" s="21" t="s">
        <v>90</v>
      </c>
      <c r="B53" s="10">
        <f>Parameters!B8*B5*C23*1000</f>
        <v>7.6810943005181332E-3</v>
      </c>
      <c r="C53" s="10">
        <f>Parameters!B8*C5*C23*1000</f>
        <v>1.5362188601036266E-2</v>
      </c>
      <c r="D53" s="10">
        <f>Parameters!B8*D5*C23*1000</f>
        <v>1.8562644559585492E-2</v>
      </c>
      <c r="E53" s="9" t="s">
        <v>58</v>
      </c>
      <c r="F53" s="8" t="e" vm="9">
        <v>#VALUE!</v>
      </c>
      <c r="H53" s="42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4"/>
    </row>
    <row r="54" spans="1:27" ht="26.4" customHeight="1" x14ac:dyDescent="0.3">
      <c r="A54" s="21" t="s">
        <v>87</v>
      </c>
      <c r="B54" s="10">
        <f>B48^2*C15+C16*(B40/2)^2/3</f>
        <v>0.57739678932942251</v>
      </c>
      <c r="C54" s="10">
        <f>C48^2*C15+C16*(C40/2)^2/3</f>
        <v>0.91303674380715216</v>
      </c>
      <c r="D54" s="10">
        <f>D48^2*C15+C16*(D40/2)^2/3</f>
        <v>0.98503992115649464</v>
      </c>
      <c r="E54" s="9" t="s">
        <v>58</v>
      </c>
      <c r="F54" s="8" t="e" vm="10">
        <v>#VALUE!</v>
      </c>
      <c r="H54" s="42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4"/>
    </row>
    <row r="55" spans="1:27" x14ac:dyDescent="0.3">
      <c r="A55" s="34" t="s">
        <v>75</v>
      </c>
      <c r="B55" s="35">
        <f>B47+B49+B50+B53+B51+B52</f>
        <v>0.51292233346130844</v>
      </c>
      <c r="C55" s="35">
        <f>C47+C49+C50+C53+C51+C52</f>
        <v>0.74200996809663022</v>
      </c>
      <c r="D55" s="35">
        <f>D47+D49+D50+D53+D51+D52</f>
        <v>0.84101566465749544</v>
      </c>
      <c r="E55" s="24" t="s">
        <v>58</v>
      </c>
      <c r="F55" s="8"/>
      <c r="H55" s="42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4"/>
    </row>
    <row r="56" spans="1:27" x14ac:dyDescent="0.3">
      <c r="A56" s="23" t="s">
        <v>61</v>
      </c>
      <c r="B56" s="35">
        <f>B54+B55</f>
        <v>1.090319122790731</v>
      </c>
      <c r="C56" s="35">
        <f t="shared" ref="C56:D56" si="0">C54+C55</f>
        <v>1.6550467119037824</v>
      </c>
      <c r="D56" s="35">
        <f t="shared" si="0"/>
        <v>1.82605558581399</v>
      </c>
      <c r="E56" s="24" t="s">
        <v>58</v>
      </c>
      <c r="F56" s="8"/>
      <c r="H56" s="45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7"/>
    </row>
    <row r="57" spans="1:27" x14ac:dyDescent="0.3">
      <c r="A57" s="23" t="s">
        <v>77</v>
      </c>
      <c r="B57" s="35">
        <f>D4+B55*Parameters!B11</f>
        <v>141.92643700422317</v>
      </c>
      <c r="C57" s="35">
        <f>D4+C55*Parameters!B11</f>
        <v>149.48632894718881</v>
      </c>
      <c r="D57" s="35">
        <f>D4+D55*Parameters!B11</f>
        <v>152.75351693369734</v>
      </c>
      <c r="E57" s="24" t="s">
        <v>79</v>
      </c>
      <c r="F57" s="8"/>
    </row>
  </sheetData>
  <mergeCells count="16">
    <mergeCell ref="A1:A2"/>
    <mergeCell ref="B1:F1"/>
    <mergeCell ref="B2:F2"/>
    <mergeCell ref="A17:F17"/>
    <mergeCell ref="B19:D19"/>
    <mergeCell ref="H3:T3"/>
    <mergeCell ref="H44:AA44"/>
    <mergeCell ref="A44:F44"/>
    <mergeCell ref="A34:F34"/>
    <mergeCell ref="F24:F25"/>
    <mergeCell ref="B29:D29"/>
    <mergeCell ref="B30:D30"/>
    <mergeCell ref="A38:F38"/>
    <mergeCell ref="A41:F41"/>
    <mergeCell ref="A18:F18"/>
    <mergeCell ref="B20:D20"/>
  </mergeCells>
  <conditionalFormatting sqref="A9:A10">
    <cfRule type="expression" dxfId="13" priority="23">
      <formula>$C$8="External"</formula>
    </cfRule>
  </conditionalFormatting>
  <conditionalFormatting sqref="A11:A14">
    <cfRule type="expression" dxfId="12" priority="14">
      <formula>AND($C$8="Internal", $C$10="Default")</formula>
    </cfRule>
  </conditionalFormatting>
  <conditionalFormatting sqref="A14 E14:F14">
    <cfRule type="expression" dxfId="11" priority="3">
      <formula>$C$13="Internal"</formula>
    </cfRule>
  </conditionalFormatting>
  <conditionalFormatting sqref="A21:A22 E21:F22">
    <cfRule type="expression" dxfId="10" priority="10">
      <formula>AND($C$8="Internal", $C$10="Default")</formula>
    </cfRule>
  </conditionalFormatting>
  <conditionalFormatting sqref="C9:C10">
    <cfRule type="expression" dxfId="9" priority="21">
      <formula>$C$8="External"</formula>
    </cfRule>
  </conditionalFormatting>
  <conditionalFormatting sqref="C11:C14">
    <cfRule type="expression" dxfId="8" priority="12">
      <formula>AND($C$8="Internal", $C$10="Default")</formula>
    </cfRule>
  </conditionalFormatting>
  <conditionalFormatting sqref="C14">
    <cfRule type="expression" dxfId="7" priority="2">
      <formula>$C$13="Internal"</formula>
    </cfRule>
  </conditionalFormatting>
  <conditionalFormatting sqref="C21">
    <cfRule type="expression" dxfId="6" priority="9">
      <formula>AND($C$8="Internal", $C$10="Default")</formula>
    </cfRule>
  </conditionalFormatting>
  <conditionalFormatting sqref="C22">
    <cfRule type="expression" dxfId="5" priority="8">
      <formula>AND($C$8="Internal", $C$10="Default")</formula>
    </cfRule>
  </conditionalFormatting>
  <conditionalFormatting sqref="C31 A31:A32 E31:F32">
    <cfRule type="expression" dxfId="4" priority="5">
      <formula>$C$13="Internal"</formula>
    </cfRule>
  </conditionalFormatting>
  <conditionalFormatting sqref="C32">
    <cfRule type="expression" dxfId="3" priority="4">
      <formula>$C$13="Internal"</formula>
    </cfRule>
  </conditionalFormatting>
  <conditionalFormatting sqref="E11:E14">
    <cfRule type="expression" dxfId="2" priority="13">
      <formula>AND($C$8="Internal", $C$10="Default")</formula>
    </cfRule>
  </conditionalFormatting>
  <conditionalFormatting sqref="F9:F10">
    <cfRule type="expression" dxfId="1" priority="20">
      <formula>$C$8="External"</formula>
    </cfRule>
  </conditionalFormatting>
  <conditionalFormatting sqref="F11">
    <cfRule type="expression" dxfId="0" priority="1">
      <formula>AND($C$8="Internal", $C$10="Default")</formula>
    </cfRule>
  </conditionalFormatting>
  <dataValidations count="4">
    <dataValidation type="list" allowBlank="1" showInputMessage="1" showErrorMessage="1" sqref="C10" xr:uid="{CB96766B-9CDE-4859-9AD9-5182045C8152}">
      <formula1>"Default, RFSET"</formula1>
    </dataValidation>
    <dataValidation type="list" allowBlank="1" showInputMessage="1" showErrorMessage="1" sqref="D6" xr:uid="{03C32B66-38B2-49CB-8094-02A3DD6E6A65}">
      <formula1>"3.3,5,5.35,12"</formula1>
    </dataValidation>
    <dataValidation type="list" allowBlank="1" showInputMessage="1" showErrorMessage="1" sqref="C8 C13" xr:uid="{CD68FE30-78ED-4594-B2AD-A4712A5F02CB}">
      <formula1>"Internal, External"</formula1>
    </dataValidation>
    <dataValidation type="list" allowBlank="1" showInputMessage="1" showErrorMessage="1" sqref="C9 C12" xr:uid="{46ECA01B-6A40-49CA-8E81-A15201A51423}">
      <formula1>"Yes, No"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823A2B-C441-4378-A9F9-99D89B0E3EB8}">
  <dimension ref="A3:D11"/>
  <sheetViews>
    <sheetView zoomScale="85" zoomScaleNormal="85" workbookViewId="0"/>
  </sheetViews>
  <sheetFormatPr defaultRowHeight="14.4" x14ac:dyDescent="0.3"/>
  <cols>
    <col min="1" max="1" width="33.88671875" customWidth="1"/>
    <col min="4" max="4" width="35.109375" customWidth="1"/>
  </cols>
  <sheetData>
    <row r="3" spans="1:4" x14ac:dyDescent="0.3">
      <c r="A3" s="2" t="s">
        <v>62</v>
      </c>
      <c r="B3" s="2">
        <v>0.19</v>
      </c>
      <c r="C3" s="2" t="s">
        <v>28</v>
      </c>
      <c r="D3" s="66" t="s">
        <v>82</v>
      </c>
    </row>
    <row r="4" spans="1:4" x14ac:dyDescent="0.3">
      <c r="A4" s="2" t="s">
        <v>63</v>
      </c>
      <c r="B4" s="2">
        <v>0.14000000000000001</v>
      </c>
      <c r="C4" s="2" t="s">
        <v>28</v>
      </c>
      <c r="D4" s="66"/>
    </row>
    <row r="5" spans="1:4" x14ac:dyDescent="0.3">
      <c r="A5" s="2" t="s">
        <v>94</v>
      </c>
      <c r="B5" s="2">
        <v>3.3</v>
      </c>
      <c r="C5" s="2" t="s">
        <v>9</v>
      </c>
      <c r="D5" s="36"/>
    </row>
    <row r="6" spans="1:4" x14ac:dyDescent="0.3">
      <c r="A6" s="2" t="s">
        <v>93</v>
      </c>
      <c r="B6" s="37">
        <v>1.4619999999999999E-9</v>
      </c>
      <c r="C6" s="2" t="s">
        <v>92</v>
      </c>
      <c r="D6" s="36"/>
    </row>
    <row r="7" spans="1:4" x14ac:dyDescent="0.3">
      <c r="A7" s="2" t="s">
        <v>91</v>
      </c>
      <c r="B7" s="37">
        <v>2.7399999999999998E-10</v>
      </c>
      <c r="C7" s="2" t="s">
        <v>92</v>
      </c>
      <c r="D7" s="36"/>
    </row>
    <row r="8" spans="1:4" x14ac:dyDescent="0.3">
      <c r="A8" s="2" t="s">
        <v>95</v>
      </c>
      <c r="B8" s="37">
        <v>8.0000000000000003E-10</v>
      </c>
      <c r="C8" s="2" t="s">
        <v>97</v>
      </c>
      <c r="D8" s="36"/>
    </row>
    <row r="9" spans="1:4" x14ac:dyDescent="0.3">
      <c r="A9" s="2" t="s">
        <v>68</v>
      </c>
      <c r="B9" s="31">
        <v>2.7</v>
      </c>
      <c r="C9" s="2" t="s">
        <v>96</v>
      </c>
    </row>
    <row r="10" spans="1:4" x14ac:dyDescent="0.3">
      <c r="A10" s="2" t="s">
        <v>69</v>
      </c>
      <c r="B10" s="31">
        <v>2.2999999999999998</v>
      </c>
      <c r="C10" s="2" t="s">
        <v>96</v>
      </c>
    </row>
    <row r="11" spans="1:4" x14ac:dyDescent="0.3">
      <c r="A11" s="2" t="s">
        <v>64</v>
      </c>
      <c r="B11" s="31">
        <v>33</v>
      </c>
      <c r="C11" s="14" t="s">
        <v>65</v>
      </c>
    </row>
  </sheetData>
  <mergeCells count="1">
    <mergeCell ref="D3:D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79EE6-DB3E-4987-AFE9-7F795BC938AA}">
  <dimension ref="A1:L66"/>
  <sheetViews>
    <sheetView workbookViewId="0"/>
  </sheetViews>
  <sheetFormatPr defaultRowHeight="14.4" x14ac:dyDescent="0.3"/>
  <cols>
    <col min="1" max="1" width="9.6640625" bestFit="1" customWidth="1"/>
    <col min="2" max="2" width="10" bestFit="1" customWidth="1"/>
    <col min="3" max="3" width="14.109375" bestFit="1" customWidth="1"/>
    <col min="4" max="4" width="9.88671875" bestFit="1" customWidth="1"/>
    <col min="5" max="5" width="9.5546875" bestFit="1" customWidth="1"/>
    <col min="6" max="6" width="9.88671875" bestFit="1" customWidth="1"/>
    <col min="7" max="7" width="9.5546875" bestFit="1" customWidth="1"/>
    <col min="8" max="10" width="9.5546875" customWidth="1"/>
    <col min="11" max="11" width="9.109375" customWidth="1"/>
  </cols>
  <sheetData>
    <row r="1" spans="1:12" x14ac:dyDescent="0.3">
      <c r="A1" t="s">
        <v>106</v>
      </c>
      <c r="B1" t="s">
        <v>107</v>
      </c>
      <c r="C1" t="s">
        <v>108</v>
      </c>
      <c r="D1" t="s">
        <v>109</v>
      </c>
      <c r="E1" t="s">
        <v>110</v>
      </c>
      <c r="F1" t="s">
        <v>111</v>
      </c>
      <c r="G1" t="s">
        <v>112</v>
      </c>
      <c r="H1" t="s">
        <v>117</v>
      </c>
      <c r="I1" t="s">
        <v>116</v>
      </c>
      <c r="J1" t="s">
        <v>115</v>
      </c>
      <c r="K1" t="s">
        <v>113</v>
      </c>
      <c r="L1" t="s">
        <v>114</v>
      </c>
    </row>
    <row r="2" spans="1:12" x14ac:dyDescent="0.3">
      <c r="A2">
        <v>0.1</v>
      </c>
      <c r="B2" s="41">
        <f>Calculator!$C$36</f>
        <v>13.770853232064704</v>
      </c>
      <c r="C2" s="41">
        <v>1E-3</v>
      </c>
      <c r="D2" s="41">
        <f>Calculator!$D$7/Calculator!$D$6/Calculator!$C$27*1000/2/PI()</f>
        <v>0.42328442311674291</v>
      </c>
      <c r="E2" s="41">
        <f>1/0.032/2/PI()</f>
        <v>4.9735919716217296</v>
      </c>
      <c r="F2" s="41">
        <f>1/0.0006/2/PI()</f>
        <v>265.25823848649225</v>
      </c>
      <c r="G2" s="41">
        <f>IF(Calculator!$C$35&lt;0.5,Calculator!$C$23/4/Calculator!$C$35*(1-SQRT(1-4*Calculator!$C$35^2)),Calculator!$C$23/2)</f>
        <v>58.289836315045932</v>
      </c>
      <c r="H2" s="41">
        <f>G2*2*PI()*Calculator!$C$25*0.01*Calculator!$D$7/Calculator!$D$6/(1-Calculator!$C$25*Calculator!$C$27*0.00001*(G2*2*PI())^2)</f>
        <v>-7.2681240073636131E-3</v>
      </c>
      <c r="I2" s="41">
        <f>90+(ATAN(G2/D2)+ATAN(G2/66.3)-ATAN(G2/1061)-IF(ATAN(H2)&lt;0, PI()+ATAN(H2), ATAN(H2)))*180/PI()</f>
        <v>38.177166274078203</v>
      </c>
      <c r="J2" s="41">
        <f>SQRT(COS(I2*PI()/180))/SIN(I2*PI()/180)</f>
        <v>1.4344468431833539</v>
      </c>
      <c r="K2" s="41">
        <f>20*LOG10(1/Calculator!$D$7*1525000*(1+A2/E2)/(1+A2/D2)/(1+A2/G2)/2/PI()/A2/1000/(1+A2/F2))</f>
        <v>62.492609274699937</v>
      </c>
      <c r="L2" s="41">
        <f>90+(-ATAN(A2/D2)+ATAN(A2/E2)-ATAN(A2/F2)-IF(ATAN(A2/J2/G2/(1-(A2/G2)^2))&gt;0,ATAN(A2/J2/G2/(1-(A2/G2)^2)),PI()+ATAN(A2/J2/G2/(1-(A2/G2)^2))))*180/PI()</f>
        <v>77.769437575685615</v>
      </c>
    </row>
    <row r="3" spans="1:12" x14ac:dyDescent="0.3">
      <c r="A3">
        <v>0.12</v>
      </c>
      <c r="B3" s="41">
        <f>Calculator!$C$36</f>
        <v>13.770853232064704</v>
      </c>
      <c r="C3" s="41">
        <v>1.0009999999999999</v>
      </c>
      <c r="D3" s="41">
        <f>Calculator!$D$7/Calculator!$D$6/Calculator!$C$27*1000/2/PI()</f>
        <v>0.42328442311674291</v>
      </c>
      <c r="E3" s="41">
        <f t="shared" ref="E3:E25" si="0">1/0.032/2/PI()</f>
        <v>4.9735919716217296</v>
      </c>
      <c r="F3" s="41">
        <f t="shared" ref="F3:F25" si="1">1/0.0006/2/PI()</f>
        <v>265.25823848649225</v>
      </c>
      <c r="G3" s="41">
        <f>IF(Calculator!$C$35&lt;0.5,Calculator!$C$23/4/Calculator!$C$35*(1-SQRT(1-4*Calculator!$C$35^2)),Calculator!$C$23/2)</f>
        <v>58.289836315045932</v>
      </c>
      <c r="H3" s="41">
        <f>G3*2*PI()*Calculator!$C$25*0.01*Calculator!$D$7/Calculator!$D$6/(1-Calculator!$C$25*Calculator!$C$27*0.00001*(G3*2*PI())^2)</f>
        <v>-7.2681240073636131E-3</v>
      </c>
      <c r="I3" s="41">
        <f t="shared" ref="I3:I25" si="2">90+(ATAN(G3/D3)+ATAN(G3/66.3)-ATAN(G3/1061)-IF(ATAN(H3)&lt;0, PI()+ATAN(H3), ATAN(H3)))*180/PI()</f>
        <v>38.177166274078203</v>
      </c>
      <c r="J3" s="41">
        <f t="shared" ref="J3:J25" si="3">SQRT(COS(I3*PI()/180))/SIN(I3*PI()/180)</f>
        <v>1.4344468431833539</v>
      </c>
      <c r="K3" s="41">
        <f>20*LOG10(1/Calculator!$D$7*1525000*(1+A3/E3)/(1+A3/D3)/(1+A3/G3)/2/PI()/A3/1000/(1+A3/F3))</f>
        <v>60.613738469970819</v>
      </c>
      <c r="L3" s="41">
        <f t="shared" ref="L3:L25" si="4">90+(-ATAN(A3/D3)+ATAN(A3/E3)-ATAN(A3/F3)-IF(ATAN(A3/J3/G3/(1-(A3/G3)^2))&gt;0,ATAN(A3/J3/G3/(1-(A3/G3)^2)),PI()+ATAN(A3/J3/G3/(1-(A3/G3)^2))))*180/PI()</f>
        <v>75.446091102901661</v>
      </c>
    </row>
    <row r="4" spans="1:12" x14ac:dyDescent="0.3">
      <c r="A4">
        <v>0.15</v>
      </c>
      <c r="B4" s="41">
        <f>Calculator!$C$36</f>
        <v>13.770853232064704</v>
      </c>
      <c r="C4" s="41">
        <v>2.0009999999999999</v>
      </c>
      <c r="D4" s="41">
        <f>Calculator!$D$7/Calculator!$D$6/Calculator!$C$27*1000/2/PI()</f>
        <v>0.42328442311674291</v>
      </c>
      <c r="E4" s="41">
        <f t="shared" si="0"/>
        <v>4.9735919716217296</v>
      </c>
      <c r="F4" s="41">
        <f t="shared" si="1"/>
        <v>265.25823848649225</v>
      </c>
      <c r="G4" s="41">
        <f>IF(Calculator!$C$35&lt;0.5,Calculator!$C$23/4/Calculator!$C$35*(1-SQRT(1-4*Calculator!$C$35^2)),Calculator!$C$23/2)</f>
        <v>58.289836315045932</v>
      </c>
      <c r="H4" s="41">
        <f>G4*2*PI()*Calculator!$C$25*0.01*Calculator!$D$7/Calculator!$D$6/(1-Calculator!$C$25*Calculator!$C$27*0.00001*(G4*2*PI())^2)</f>
        <v>-7.2681240073636131E-3</v>
      </c>
      <c r="I4" s="41">
        <f t="shared" si="2"/>
        <v>38.177166274078203</v>
      </c>
      <c r="J4" s="41">
        <f t="shared" si="3"/>
        <v>1.4344468431833539</v>
      </c>
      <c r="K4" s="41">
        <f>20*LOG10(1/Calculator!$D$7*1525000*(1+A4/E4)/(1+A4/D4)/(1+A4/G4)/2/PI()/A4/1000/(1+A4/F4))</f>
        <v>58.254246241537572</v>
      </c>
      <c r="L4" s="41">
        <f t="shared" si="4"/>
        <v>72.079405586224723</v>
      </c>
    </row>
    <row r="5" spans="1:12" x14ac:dyDescent="0.3">
      <c r="A5">
        <v>0.18</v>
      </c>
      <c r="B5" s="41">
        <f>Calculator!$C$36</f>
        <v>13.770853232064704</v>
      </c>
      <c r="C5" s="41">
        <v>3.0009999999999999</v>
      </c>
      <c r="D5" s="41">
        <f>Calculator!$D$7/Calculator!$D$6/Calculator!$C$27*1000/2/PI()</f>
        <v>0.42328442311674291</v>
      </c>
      <c r="E5" s="41">
        <f t="shared" si="0"/>
        <v>4.9735919716217296</v>
      </c>
      <c r="F5" s="41">
        <f t="shared" si="1"/>
        <v>265.25823848649225</v>
      </c>
      <c r="G5" s="41">
        <f>IF(Calculator!$C$35&lt;0.5,Calculator!$C$23/4/Calculator!$C$35*(1-SQRT(1-4*Calculator!$C$35^2)),Calculator!$C$23/2)</f>
        <v>58.289836315045932</v>
      </c>
      <c r="H5" s="41">
        <f>G5*2*PI()*Calculator!$C$25*0.01*Calculator!$D$7/Calculator!$D$6/(1-Calculator!$C$25*Calculator!$C$27*0.00001*(G5*2*PI())^2)</f>
        <v>-7.2681240073636131E-3</v>
      </c>
      <c r="I5" s="41">
        <f t="shared" si="2"/>
        <v>38.177166274078203</v>
      </c>
      <c r="J5" s="41">
        <f t="shared" si="3"/>
        <v>1.4344468431833539</v>
      </c>
      <c r="K5" s="41">
        <f>20*LOG10(1/Calculator!$D$7*1525000*(1+A5/E5)/(1+A5/D5)/(1+A5/G5)/2/PI()/A5/1000/(1+A5/F5))</f>
        <v>56.272852318829521</v>
      </c>
      <c r="L5" s="41">
        <f t="shared" si="4"/>
        <v>68.873042002668001</v>
      </c>
    </row>
    <row r="6" spans="1:12" x14ac:dyDescent="0.3">
      <c r="A6">
        <v>0.2</v>
      </c>
      <c r="B6" s="41">
        <f>Calculator!$C$36</f>
        <v>13.770853232064704</v>
      </c>
      <c r="C6" s="41">
        <v>4.0010000000000003</v>
      </c>
      <c r="D6" s="41">
        <f>Calculator!$D$7/Calculator!$D$6/Calculator!$C$27*1000/2/PI()</f>
        <v>0.42328442311674291</v>
      </c>
      <c r="E6" s="41">
        <f t="shared" si="0"/>
        <v>4.9735919716217296</v>
      </c>
      <c r="F6" s="41">
        <f t="shared" si="1"/>
        <v>265.25823848649225</v>
      </c>
      <c r="G6" s="41">
        <f>IF(Calculator!$C$35&lt;0.5,Calculator!$C$23/4/Calculator!$C$35*(1-SQRT(1-4*Calculator!$C$35^2)),Calculator!$C$23/2)</f>
        <v>58.289836315045932</v>
      </c>
      <c r="H6" s="41">
        <f>G6*2*PI()*Calculator!$C$25*0.01*Calculator!$D$7/Calculator!$D$6/(1-Calculator!$C$25*Calculator!$C$27*0.00001*(G6*2*PI())^2)</f>
        <v>-7.2681240073636131E-3</v>
      </c>
      <c r="I6" s="41">
        <f t="shared" si="2"/>
        <v>38.177166274078203</v>
      </c>
      <c r="J6" s="41">
        <f t="shared" si="3"/>
        <v>1.4344468431833539</v>
      </c>
      <c r="K6" s="41">
        <f>20*LOG10(1/Calculator!$D$7*1525000*(1+A6/E6)/(1+A6/D6)/(1+A6/G6)/2/PI()/A6/1000/(1+A6/F6))</f>
        <v>55.104437150717338</v>
      </c>
      <c r="L6" s="41">
        <f t="shared" si="4"/>
        <v>66.831983884193505</v>
      </c>
    </row>
    <row r="7" spans="1:12" x14ac:dyDescent="0.3">
      <c r="A7">
        <v>0.25</v>
      </c>
      <c r="B7" s="41">
        <f>Calculator!$C$36</f>
        <v>13.770853232064704</v>
      </c>
      <c r="C7" s="41">
        <v>5.0010000000000003</v>
      </c>
      <c r="D7" s="41">
        <f>Calculator!$D$7/Calculator!$D$6/Calculator!$C$27*1000/2/PI()</f>
        <v>0.42328442311674291</v>
      </c>
      <c r="E7" s="41">
        <f t="shared" si="0"/>
        <v>4.9735919716217296</v>
      </c>
      <c r="F7" s="41">
        <f t="shared" si="1"/>
        <v>265.25823848649225</v>
      </c>
      <c r="G7" s="41">
        <f>IF(Calculator!$C$35&lt;0.5,Calculator!$C$23/4/Calculator!$C$35*(1-SQRT(1-4*Calculator!$C$35^2)),Calculator!$C$23/2)</f>
        <v>58.289836315045932</v>
      </c>
      <c r="H7" s="41">
        <f>G7*2*PI()*Calculator!$C$25*0.01*Calculator!$D$7/Calculator!$D$6/(1-Calculator!$C$25*Calculator!$C$27*0.00001*(G7*2*PI())^2)</f>
        <v>-7.2681240073636131E-3</v>
      </c>
      <c r="I7" s="41">
        <f t="shared" si="2"/>
        <v>38.177166274078203</v>
      </c>
      <c r="J7" s="41">
        <f t="shared" si="3"/>
        <v>1.4344468431833539</v>
      </c>
      <c r="K7" s="41">
        <f>20*LOG10(1/Calculator!$D$7*1525000*(1+A7/E7)/(1+A7/D7)/(1+A7/G7)/2/PI()/A7/1000/(1+A7/F7))</f>
        <v>52.570474633714596</v>
      </c>
      <c r="L7" s="41">
        <f t="shared" si="4"/>
        <v>62.085340735823479</v>
      </c>
    </row>
    <row r="8" spans="1:12" x14ac:dyDescent="0.3">
      <c r="A8">
        <v>0.3</v>
      </c>
      <c r="B8" s="41">
        <f>Calculator!$C$36</f>
        <v>13.770853232064704</v>
      </c>
      <c r="C8" s="41">
        <v>6.0010000000000003</v>
      </c>
      <c r="D8" s="41">
        <f>Calculator!$D$7/Calculator!$D$6/Calculator!$C$27*1000/2/PI()</f>
        <v>0.42328442311674291</v>
      </c>
      <c r="E8" s="41">
        <f t="shared" si="0"/>
        <v>4.9735919716217296</v>
      </c>
      <c r="F8" s="41">
        <f t="shared" si="1"/>
        <v>265.25823848649225</v>
      </c>
      <c r="G8" s="41">
        <f>IF(Calculator!$C$35&lt;0.5,Calculator!$C$23/4/Calculator!$C$35*(1-SQRT(1-4*Calculator!$C$35^2)),Calculator!$C$23/2)</f>
        <v>58.289836315045932</v>
      </c>
      <c r="H8" s="41">
        <f>G8*2*PI()*Calculator!$C$25*0.01*Calculator!$D$7/Calculator!$D$6/(1-Calculator!$C$25*Calculator!$C$27*0.00001*(G8*2*PI())^2)</f>
        <v>-7.2681240073636131E-3</v>
      </c>
      <c r="I8" s="41">
        <f t="shared" si="2"/>
        <v>38.177166274078203</v>
      </c>
      <c r="J8" s="41">
        <f t="shared" si="3"/>
        <v>1.4344468431833539</v>
      </c>
      <c r="K8" s="41">
        <f>20*LOG10(1/Calculator!$D$7*1525000*(1+A8/E8)/(1+A8/D8)/(1+A8/G8)/2/PI()/A8/1000/(1+A8/F8))</f>
        <v>50.438333209894672</v>
      </c>
      <c r="L8" s="41">
        <f t="shared" si="4"/>
        <v>57.854588001764888</v>
      </c>
    </row>
    <row r="9" spans="1:12" x14ac:dyDescent="0.3">
      <c r="A9">
        <v>0.35</v>
      </c>
      <c r="B9" s="41">
        <f>Calculator!$C$36</f>
        <v>13.770853232064704</v>
      </c>
      <c r="C9" s="41">
        <v>7.0010000000000003</v>
      </c>
      <c r="D9" s="41">
        <f>Calculator!$D$7/Calculator!$D$6/Calculator!$C$27*1000/2/PI()</f>
        <v>0.42328442311674291</v>
      </c>
      <c r="E9" s="41">
        <f t="shared" si="0"/>
        <v>4.9735919716217296</v>
      </c>
      <c r="F9" s="41">
        <f t="shared" si="1"/>
        <v>265.25823848649225</v>
      </c>
      <c r="G9" s="41">
        <f>IF(Calculator!$C$35&lt;0.5,Calculator!$C$23/4/Calculator!$C$35*(1-SQRT(1-4*Calculator!$C$35^2)),Calculator!$C$23/2)</f>
        <v>58.289836315045932</v>
      </c>
      <c r="H9" s="41">
        <f>G9*2*PI()*Calculator!$C$25*0.01*Calculator!$D$7/Calculator!$D$6/(1-Calculator!$C$25*Calculator!$C$27*0.00001*(G9*2*PI())^2)</f>
        <v>-7.2681240073636131E-3</v>
      </c>
      <c r="I9" s="41">
        <f t="shared" si="2"/>
        <v>38.177166274078203</v>
      </c>
      <c r="J9" s="41">
        <f t="shared" si="3"/>
        <v>1.4344468431833539</v>
      </c>
      <c r="K9" s="41">
        <f>20*LOG10(1/Calculator!$D$7*1525000*(1+A9/E9)/(1+A9/D9)/(1+A9/G9)/2/PI()/A9/1000/(1+A9/F9))</f>
        <v>48.591714617695118</v>
      </c>
      <c r="L9" s="41">
        <f t="shared" si="4"/>
        <v>54.123692356431725</v>
      </c>
    </row>
    <row r="10" spans="1:12" x14ac:dyDescent="0.3">
      <c r="A10">
        <v>0.4</v>
      </c>
      <c r="B10" s="41">
        <f>Calculator!$C$36</f>
        <v>13.770853232064704</v>
      </c>
      <c r="C10" s="41">
        <v>8.0009999999999994</v>
      </c>
      <c r="D10" s="41">
        <f>Calculator!$D$7/Calculator!$D$6/Calculator!$C$27*1000/2/PI()</f>
        <v>0.42328442311674291</v>
      </c>
      <c r="E10" s="41">
        <f t="shared" si="0"/>
        <v>4.9735919716217296</v>
      </c>
      <c r="F10" s="41">
        <f t="shared" si="1"/>
        <v>265.25823848649225</v>
      </c>
      <c r="G10" s="41">
        <f>IF(Calculator!$C$35&lt;0.5,Calculator!$C$23/4/Calculator!$C$35*(1-SQRT(1-4*Calculator!$C$35^2)),Calculator!$C$23/2)</f>
        <v>58.289836315045932</v>
      </c>
      <c r="H10" s="41">
        <f>G10*2*PI()*Calculator!$C$25*0.01*Calculator!$D$7/Calculator!$D$6/(1-Calculator!$C$25*Calculator!$C$27*0.00001*(G10*2*PI())^2)</f>
        <v>-7.2681240073636131E-3</v>
      </c>
      <c r="I10" s="41">
        <f t="shared" si="2"/>
        <v>38.177166274078203</v>
      </c>
      <c r="J10" s="41">
        <f t="shared" si="3"/>
        <v>1.4344468431833539</v>
      </c>
      <c r="K10" s="41">
        <f>20*LOG10(1/Calculator!$D$7*1525000*(1+A10/E10)/(1+A10/D10)/(1+A10/G10)/2/PI()/A10/1000/(1+A10/F10))</f>
        <v>46.959823528885501</v>
      </c>
      <c r="L10" s="41">
        <f t="shared" si="4"/>
        <v>50.857622673430512</v>
      </c>
    </row>
    <row r="11" spans="1:12" x14ac:dyDescent="0.3">
      <c r="A11">
        <v>0.45</v>
      </c>
      <c r="B11" s="41">
        <f>Calculator!$C$36</f>
        <v>13.770853232064704</v>
      </c>
      <c r="C11" s="41">
        <v>9.0009999999999994</v>
      </c>
      <c r="D11" s="41">
        <f>Calculator!$D$7/Calculator!$D$6/Calculator!$C$27*1000/2/PI()</f>
        <v>0.42328442311674291</v>
      </c>
      <c r="E11" s="41">
        <f t="shared" si="0"/>
        <v>4.9735919716217296</v>
      </c>
      <c r="F11" s="41">
        <f t="shared" si="1"/>
        <v>265.25823848649225</v>
      </c>
      <c r="G11" s="41">
        <f>IF(Calculator!$C$35&lt;0.5,Calculator!$C$23/4/Calculator!$C$35*(1-SQRT(1-4*Calculator!$C$35^2)),Calculator!$C$23/2)</f>
        <v>58.289836315045932</v>
      </c>
      <c r="H11" s="41">
        <f>G11*2*PI()*Calculator!$C$25*0.01*Calculator!$D$7/Calculator!$D$6/(1-Calculator!$C$25*Calculator!$C$27*0.00001*(G11*2*PI())^2)</f>
        <v>-7.2681240073636131E-3</v>
      </c>
      <c r="I11" s="41">
        <f t="shared" si="2"/>
        <v>38.177166274078203</v>
      </c>
      <c r="J11" s="41">
        <f t="shared" si="3"/>
        <v>1.4344468431833539</v>
      </c>
      <c r="K11" s="41">
        <f>20*LOG10(1/Calculator!$D$7*1525000*(1+A11/E11)/(1+A11/D11)/(1+A11/G11)/2/PI()/A11/1000/(1+A11/F11))</f>
        <v>45.496071924193245</v>
      </c>
      <c r="L11" s="41">
        <f t="shared" si="4"/>
        <v>48.012098151280263</v>
      </c>
    </row>
    <row r="12" spans="1:12" x14ac:dyDescent="0.3">
      <c r="A12">
        <v>0.5</v>
      </c>
      <c r="B12" s="41">
        <f>Calculator!$C$36</f>
        <v>13.770853232064704</v>
      </c>
      <c r="C12" s="41">
        <v>10.000999999999999</v>
      </c>
      <c r="D12" s="41">
        <f>Calculator!$D$7/Calculator!$D$6/Calculator!$C$27*1000/2/PI()</f>
        <v>0.42328442311674291</v>
      </c>
      <c r="E12" s="41">
        <f t="shared" si="0"/>
        <v>4.9735919716217296</v>
      </c>
      <c r="F12" s="41">
        <f t="shared" si="1"/>
        <v>265.25823848649225</v>
      </c>
      <c r="G12" s="41">
        <f>IF(Calculator!$C$35&lt;0.5,Calculator!$C$23/4/Calculator!$C$35*(1-SQRT(1-4*Calculator!$C$35^2)),Calculator!$C$23/2)</f>
        <v>58.289836315045932</v>
      </c>
      <c r="H12" s="41">
        <f>G12*2*PI()*Calculator!$C$25*0.01*Calculator!$D$7/Calculator!$D$6/(1-Calculator!$C$25*Calculator!$C$27*0.00001*(G12*2*PI())^2)</f>
        <v>-7.2681240073636131E-3</v>
      </c>
      <c r="I12" s="41">
        <f t="shared" si="2"/>
        <v>38.177166274078203</v>
      </c>
      <c r="J12" s="41">
        <f t="shared" si="3"/>
        <v>1.4344468431833539</v>
      </c>
      <c r="K12" s="41">
        <f>20*LOG10(1/Calculator!$D$7*1525000*(1+A12/E12)/(1+A12/D12)/(1+A12/G12)/2/PI()/A12/1000/(1+A12/F12))</f>
        <v>44.168009722237223</v>
      </c>
      <c r="L12" s="41">
        <f t="shared" si="4"/>
        <v>45.540281481415981</v>
      </c>
    </row>
    <row r="13" spans="1:12" x14ac:dyDescent="0.3">
      <c r="A13">
        <v>0.55000000000000004</v>
      </c>
      <c r="B13" s="41">
        <f>Calculator!$C$36</f>
        <v>13.770853232064704</v>
      </c>
      <c r="C13" s="41">
        <v>11.000999999999999</v>
      </c>
      <c r="D13" s="41">
        <f>Calculator!$D$7/Calculator!$D$6/Calculator!$C$27*1000/2/PI()</f>
        <v>0.42328442311674291</v>
      </c>
      <c r="E13" s="41">
        <f t="shared" si="0"/>
        <v>4.9735919716217296</v>
      </c>
      <c r="F13" s="41">
        <f t="shared" si="1"/>
        <v>265.25823848649225</v>
      </c>
      <c r="G13" s="41">
        <f>IF(Calculator!$C$35&lt;0.5,Calculator!$C$23/4/Calculator!$C$35*(1-SQRT(1-4*Calculator!$C$35^2)),Calculator!$C$23/2)</f>
        <v>58.289836315045932</v>
      </c>
      <c r="H13" s="41">
        <f>G13*2*PI()*Calculator!$C$25*0.01*Calculator!$D$7/Calculator!$D$6/(1-Calculator!$C$25*Calculator!$C$27*0.00001*(G13*2*PI())^2)</f>
        <v>-7.2681240073636131E-3</v>
      </c>
      <c r="I13" s="41">
        <f t="shared" si="2"/>
        <v>38.177166274078203</v>
      </c>
      <c r="J13" s="41">
        <f t="shared" si="3"/>
        <v>1.4344468431833539</v>
      </c>
      <c r="K13" s="41">
        <f>20*LOG10(1/Calculator!$D$7*1525000*(1+A13/E13)/(1+A13/D13)/(1+A13/G13)/2/PI()/A13/1000/(1+A13/F13))</f>
        <v>42.952036016609071</v>
      </c>
      <c r="L13" s="41">
        <f t="shared" si="4"/>
        <v>43.396818283574817</v>
      </c>
    </row>
    <row r="14" spans="1:12" x14ac:dyDescent="0.3">
      <c r="A14">
        <v>0.6</v>
      </c>
      <c r="B14" s="41">
        <f>Calculator!$C$36</f>
        <v>13.770853232064704</v>
      </c>
      <c r="C14" s="41">
        <v>12.000999999999999</v>
      </c>
      <c r="D14" s="41">
        <f>Calculator!$D$7/Calculator!$D$6/Calculator!$C$27*1000/2/PI()</f>
        <v>0.42328442311674291</v>
      </c>
      <c r="E14" s="41">
        <f t="shared" si="0"/>
        <v>4.9735919716217296</v>
      </c>
      <c r="F14" s="41">
        <f t="shared" si="1"/>
        <v>265.25823848649225</v>
      </c>
      <c r="G14" s="41">
        <f>IF(Calculator!$C$35&lt;0.5,Calculator!$C$23/4/Calculator!$C$35*(1-SQRT(1-4*Calculator!$C$35^2)),Calculator!$C$23/2)</f>
        <v>58.289836315045932</v>
      </c>
      <c r="H14" s="41">
        <f>G14*2*PI()*Calculator!$C$25*0.01*Calculator!$D$7/Calculator!$D$6/(1-Calculator!$C$25*Calculator!$C$27*0.00001*(G14*2*PI())^2)</f>
        <v>-7.2681240073636131E-3</v>
      </c>
      <c r="I14" s="41">
        <f t="shared" si="2"/>
        <v>38.177166274078203</v>
      </c>
      <c r="J14" s="41">
        <f t="shared" si="3"/>
        <v>1.4344468431833539</v>
      </c>
      <c r="K14" s="41">
        <f>20*LOG10(1/Calculator!$D$7*1525000*(1+A14/E14)/(1+A14/D14)/(1+A14/G14)/2/PI()/A14/1000/(1+A14/F14))</f>
        <v>41.830393100323839</v>
      </c>
      <c r="L14" s="41">
        <f t="shared" si="4"/>
        <v>41.539951638257186</v>
      </c>
    </row>
    <row r="15" spans="1:12" x14ac:dyDescent="0.3">
      <c r="A15">
        <v>0.7</v>
      </c>
      <c r="B15" s="41">
        <f>Calculator!$C$36</f>
        <v>13.770853232064704</v>
      </c>
      <c r="C15" s="41">
        <v>13.000999999999999</v>
      </c>
      <c r="D15" s="41">
        <f>Calculator!$D$7/Calculator!$D$6/Calculator!$C$27*1000/2/PI()</f>
        <v>0.42328442311674291</v>
      </c>
      <c r="E15" s="41">
        <f t="shared" si="0"/>
        <v>4.9735919716217296</v>
      </c>
      <c r="F15" s="41">
        <f t="shared" si="1"/>
        <v>265.25823848649225</v>
      </c>
      <c r="G15" s="41">
        <f>IF(Calculator!$C$35&lt;0.5,Calculator!$C$23/4/Calculator!$C$35*(1-SQRT(1-4*Calculator!$C$35^2)),Calculator!$C$23/2)</f>
        <v>58.289836315045932</v>
      </c>
      <c r="H15" s="41">
        <f>G15*2*PI()*Calculator!$C$25*0.01*Calculator!$D$7/Calculator!$D$6/(1-Calculator!$C$25*Calculator!$C$27*0.00001*(G15*2*PI())^2)</f>
        <v>-7.2681240073636131E-3</v>
      </c>
      <c r="I15" s="41">
        <f t="shared" si="2"/>
        <v>38.177166274078203</v>
      </c>
      <c r="J15" s="41">
        <f t="shared" si="3"/>
        <v>1.4344468431833539</v>
      </c>
      <c r="K15" s="41">
        <f>20*LOG10(1/Calculator!$D$7*1525000*(1+A15/E15)/(1+A15/D15)/(1+A15/G15)/2/PI()/A15/1000/(1+A15/F15))</f>
        <v>39.818045013440717</v>
      </c>
      <c r="L15" s="41">
        <f t="shared" si="4"/>
        <v>38.541468972943136</v>
      </c>
    </row>
    <row r="16" spans="1:12" x14ac:dyDescent="0.3">
      <c r="A16">
        <v>0.8</v>
      </c>
      <c r="B16" s="41">
        <f>Calculator!$C$36</f>
        <v>13.770853232064704</v>
      </c>
      <c r="C16" s="41">
        <v>14.000999999999999</v>
      </c>
      <c r="D16" s="41">
        <f>Calculator!$D$7/Calculator!$D$6/Calculator!$C$27*1000/2/PI()</f>
        <v>0.42328442311674291</v>
      </c>
      <c r="E16" s="41">
        <f t="shared" si="0"/>
        <v>4.9735919716217296</v>
      </c>
      <c r="F16" s="41">
        <f t="shared" si="1"/>
        <v>265.25823848649225</v>
      </c>
      <c r="G16" s="41">
        <f>IF(Calculator!$C$35&lt;0.5,Calculator!$C$23/4/Calculator!$C$35*(1-SQRT(1-4*Calculator!$C$35^2)),Calculator!$C$23/2)</f>
        <v>58.289836315045932</v>
      </c>
      <c r="H16" s="41">
        <f>G16*2*PI()*Calculator!$C$25*0.01*Calculator!$D$7/Calculator!$D$6/(1-Calculator!$C$25*Calculator!$C$27*0.00001*(G16*2*PI())^2)</f>
        <v>-7.2681240073636131E-3</v>
      </c>
      <c r="I16" s="41">
        <f t="shared" si="2"/>
        <v>38.177166274078203</v>
      </c>
      <c r="J16" s="41">
        <f t="shared" si="3"/>
        <v>1.4344468431833539</v>
      </c>
      <c r="K16" s="41">
        <f>20*LOG10(1/Calculator!$D$7*1525000*(1+A16/E16)/(1+A16/D16)/(1+A16/G16)/2/PI()/A16/1000/(1+A16/F16))</f>
        <v>38.051234482917359</v>
      </c>
      <c r="L16" s="41">
        <f t="shared" si="4"/>
        <v>36.300214006943833</v>
      </c>
    </row>
    <row r="17" spans="1:12" x14ac:dyDescent="0.3">
      <c r="A17">
        <v>0.9</v>
      </c>
      <c r="B17" s="41">
        <f>Calculator!$C$36</f>
        <v>13.770853232064704</v>
      </c>
      <c r="C17" s="41">
        <v>15.000999999999999</v>
      </c>
      <c r="D17" s="41">
        <f>Calculator!$D$7/Calculator!$D$6/Calculator!$C$27*1000/2/PI()</f>
        <v>0.42328442311674291</v>
      </c>
      <c r="E17" s="41">
        <f t="shared" si="0"/>
        <v>4.9735919716217296</v>
      </c>
      <c r="F17" s="41">
        <f t="shared" si="1"/>
        <v>265.25823848649225</v>
      </c>
      <c r="G17" s="41">
        <f>IF(Calculator!$C$35&lt;0.5,Calculator!$C$23/4/Calculator!$C$35*(1-SQRT(1-4*Calculator!$C$35^2)),Calculator!$C$23/2)</f>
        <v>58.289836315045932</v>
      </c>
      <c r="H17" s="41">
        <f>G17*2*PI()*Calculator!$C$25*0.01*Calculator!$D$7/Calculator!$D$6/(1-Calculator!$C$25*Calculator!$C$27*0.00001*(G17*2*PI())^2)</f>
        <v>-7.2681240073636131E-3</v>
      </c>
      <c r="I17" s="41">
        <f t="shared" si="2"/>
        <v>38.177166274078203</v>
      </c>
      <c r="J17" s="41">
        <f t="shared" si="3"/>
        <v>1.4344468431833539</v>
      </c>
      <c r="K17" s="41">
        <f>20*LOG10(1/Calculator!$D$7*1525000*(1+A17/E17)/(1+A17/D17)/(1+A17/G17)/2/PI()/A17/1000/(1+A17/F17))</f>
        <v>36.476871559201392</v>
      </c>
      <c r="L17" s="41">
        <f t="shared" si="4"/>
        <v>34.634117339512478</v>
      </c>
    </row>
    <row r="18" spans="1:12" x14ac:dyDescent="0.3">
      <c r="A18">
        <v>1</v>
      </c>
      <c r="B18" s="41">
        <f>Calculator!$C$36</f>
        <v>13.770853232064704</v>
      </c>
      <c r="C18" s="41">
        <v>16.001000000000001</v>
      </c>
      <c r="D18" s="41">
        <f>Calculator!$D$7/Calculator!$D$6/Calculator!$C$27*1000/2/PI()</f>
        <v>0.42328442311674291</v>
      </c>
      <c r="E18" s="41">
        <f t="shared" si="0"/>
        <v>4.9735919716217296</v>
      </c>
      <c r="F18" s="41">
        <f t="shared" si="1"/>
        <v>265.25823848649225</v>
      </c>
      <c r="G18" s="41">
        <f>IF(Calculator!$C$35&lt;0.5,Calculator!$C$23/4/Calculator!$C$35*(1-SQRT(1-4*Calculator!$C$35^2)),Calculator!$C$23/2)</f>
        <v>58.289836315045932</v>
      </c>
      <c r="H18" s="41">
        <f>G18*2*PI()*Calculator!$C$25*0.01*Calculator!$D$7/Calculator!$D$6/(1-Calculator!$C$25*Calculator!$C$27*0.00001*(G18*2*PI())^2)</f>
        <v>-7.2681240073636131E-3</v>
      </c>
      <c r="I18" s="41">
        <f t="shared" si="2"/>
        <v>38.177166274078203</v>
      </c>
      <c r="J18" s="41">
        <f t="shared" si="3"/>
        <v>1.4344468431833539</v>
      </c>
      <c r="K18" s="41">
        <f>20*LOG10(1/Calculator!$D$7*1525000*(1+A18/E18)/(1+A18/D18)/(1+A18/G18)/2/PI()/A18/1000/(1+A18/F18))</f>
        <v>35.057662383392348</v>
      </c>
      <c r="L18" s="41">
        <f t="shared" si="4"/>
        <v>33.409195881901105</v>
      </c>
    </row>
    <row r="19" spans="1:12" x14ac:dyDescent="0.3">
      <c r="A19">
        <v>1.2</v>
      </c>
      <c r="B19" s="41">
        <f>Calculator!$C$36</f>
        <v>13.770853232064704</v>
      </c>
      <c r="C19" s="41">
        <v>17.001000000000001</v>
      </c>
      <c r="D19" s="41">
        <f>Calculator!$D$7/Calculator!$D$6/Calculator!$C$27*1000/2/PI()</f>
        <v>0.42328442311674291</v>
      </c>
      <c r="E19" s="41">
        <f t="shared" si="0"/>
        <v>4.9735919716217296</v>
      </c>
      <c r="F19" s="41">
        <f t="shared" si="1"/>
        <v>265.25823848649225</v>
      </c>
      <c r="G19" s="41">
        <f>IF(Calculator!$C$35&lt;0.5,Calculator!$C$23/4/Calculator!$C$35*(1-SQRT(1-4*Calculator!$C$35^2)),Calculator!$C$23/2)</f>
        <v>58.289836315045932</v>
      </c>
      <c r="H19" s="41">
        <f>G19*2*PI()*Calculator!$C$25*0.01*Calculator!$D$7/Calculator!$D$6/(1-Calculator!$C$25*Calculator!$C$27*0.00001*(G19*2*PI())^2)</f>
        <v>-7.2681240073636131E-3</v>
      </c>
      <c r="I19" s="41">
        <f t="shared" si="2"/>
        <v>38.177166274078203</v>
      </c>
      <c r="J19" s="41">
        <f t="shared" si="3"/>
        <v>1.4344468431833539</v>
      </c>
      <c r="K19" s="41">
        <f>20*LOG10(1/Calculator!$D$7*1525000*(1+A19/E19)/(1+A19/D19)/(1+A19/G19)/2/PI()/A19/1000/(1+A19/F19))</f>
        <v>32.582253907943986</v>
      </c>
      <c r="L19" s="41">
        <f t="shared" si="4"/>
        <v>31.912598889337005</v>
      </c>
    </row>
    <row r="20" spans="1:12" x14ac:dyDescent="0.3">
      <c r="A20">
        <v>1.5</v>
      </c>
      <c r="B20" s="41">
        <f>Calculator!$C$36</f>
        <v>13.770853232064704</v>
      </c>
      <c r="C20" s="41">
        <v>18.001000000000001</v>
      </c>
      <c r="D20" s="41">
        <f>Calculator!$D$7/Calculator!$D$6/Calculator!$C$27*1000/2/PI()</f>
        <v>0.42328442311674291</v>
      </c>
      <c r="E20" s="41">
        <f t="shared" si="0"/>
        <v>4.9735919716217296</v>
      </c>
      <c r="F20" s="41">
        <f t="shared" si="1"/>
        <v>265.25823848649225</v>
      </c>
      <c r="G20" s="41">
        <f>IF(Calculator!$C$35&lt;0.5,Calculator!$C$23/4/Calculator!$C$35*(1-SQRT(1-4*Calculator!$C$35^2)),Calculator!$C$23/2)</f>
        <v>58.289836315045932</v>
      </c>
      <c r="H20" s="41">
        <f>G20*2*PI()*Calculator!$C$25*0.01*Calculator!$D$7/Calculator!$D$6/(1-Calculator!$C$25*Calculator!$C$27*0.00001*(G20*2*PI())^2)</f>
        <v>-7.2681240073636131E-3</v>
      </c>
      <c r="I20" s="41">
        <f t="shared" si="2"/>
        <v>38.177166274078203</v>
      </c>
      <c r="J20" s="41">
        <f t="shared" si="3"/>
        <v>1.4344468431833539</v>
      </c>
      <c r="K20" s="41">
        <f>20*LOG10(1/Calculator!$D$7*1525000*(1+A20/E20)/(1+A20/D20)/(1+A20/G20)/2/PI()/A20/1000/(1+A20/F20))</f>
        <v>29.529758210088978</v>
      </c>
      <c r="L20" s="41">
        <f t="shared" si="4"/>
        <v>31.189019715965074</v>
      </c>
    </row>
    <row r="21" spans="1:12" x14ac:dyDescent="0.3">
      <c r="A21">
        <v>1.8</v>
      </c>
      <c r="B21" s="41">
        <f>Calculator!$C$36</f>
        <v>13.770853232064704</v>
      </c>
      <c r="C21" s="41">
        <v>19.001000000000001</v>
      </c>
      <c r="D21" s="41">
        <f>Calculator!$D$7/Calculator!$D$6/Calculator!$C$27*1000/2/PI()</f>
        <v>0.42328442311674291</v>
      </c>
      <c r="E21" s="41">
        <f t="shared" si="0"/>
        <v>4.9735919716217296</v>
      </c>
      <c r="F21" s="41">
        <f t="shared" si="1"/>
        <v>265.25823848649225</v>
      </c>
      <c r="G21" s="41">
        <f>IF(Calculator!$C$35&lt;0.5,Calculator!$C$23/4/Calculator!$C$35*(1-SQRT(1-4*Calculator!$C$35^2)),Calculator!$C$23/2)</f>
        <v>58.289836315045932</v>
      </c>
      <c r="H21" s="41">
        <f>G21*2*PI()*Calculator!$C$25*0.01*Calculator!$D$7/Calculator!$D$6/(1-Calculator!$C$25*Calculator!$C$27*0.00001*(G21*2*PI())^2)</f>
        <v>-7.2681240073636131E-3</v>
      </c>
      <c r="I21" s="41">
        <f t="shared" si="2"/>
        <v>38.177166274078203</v>
      </c>
      <c r="J21" s="41">
        <f t="shared" si="3"/>
        <v>1.4344468431833539</v>
      </c>
      <c r="K21" s="41">
        <f>20*LOG10(1/Calculator!$D$7*1525000*(1+A21/E21)/(1+A21/D21)/(1+A21/G21)/2/PI()/A21/1000/(1+A21/F21))</f>
        <v>27.027341346257927</v>
      </c>
      <c r="L21" s="41">
        <f t="shared" si="4"/>
        <v>31.505682120695212</v>
      </c>
    </row>
    <row r="22" spans="1:12" x14ac:dyDescent="0.3">
      <c r="A22">
        <v>2</v>
      </c>
      <c r="B22" s="41">
        <f>Calculator!$C$36</f>
        <v>13.770853232064704</v>
      </c>
      <c r="C22" s="41">
        <v>20.001000000000001</v>
      </c>
      <c r="D22" s="41">
        <f>Calculator!$D$7/Calculator!$D$6/Calculator!$C$27*1000/2/PI()</f>
        <v>0.42328442311674291</v>
      </c>
      <c r="E22" s="41">
        <f t="shared" si="0"/>
        <v>4.9735919716217296</v>
      </c>
      <c r="F22" s="41">
        <f t="shared" si="1"/>
        <v>265.25823848649225</v>
      </c>
      <c r="G22" s="41">
        <f>IF(Calculator!$C$35&lt;0.5,Calculator!$C$23/4/Calculator!$C$35*(1-SQRT(1-4*Calculator!$C$35^2)),Calculator!$C$23/2)</f>
        <v>58.289836315045932</v>
      </c>
      <c r="H22" s="41">
        <f>G22*2*PI()*Calculator!$C$25*0.01*Calculator!$D$7/Calculator!$D$6/(1-Calculator!$C$25*Calculator!$C$27*0.00001*(G22*2*PI())^2)</f>
        <v>-7.2681240073636131E-3</v>
      </c>
      <c r="I22" s="41">
        <f t="shared" si="2"/>
        <v>38.177166274078203</v>
      </c>
      <c r="J22" s="41">
        <f t="shared" si="3"/>
        <v>1.4344468431833539</v>
      </c>
      <c r="K22" s="41">
        <f>20*LOG10(1/Calculator!$D$7*1525000*(1+A22/E22)/(1+A22/D22)/(1+A22/G22)/2/PI()/A22/1000/(1+A22/F22))</f>
        <v>25.581390139078284</v>
      </c>
      <c r="L22" s="41">
        <f t="shared" si="4"/>
        <v>32.052269870206175</v>
      </c>
    </row>
    <row r="23" spans="1:12" x14ac:dyDescent="0.3">
      <c r="A23">
        <v>2.5</v>
      </c>
      <c r="B23" s="41">
        <f>Calculator!$C$36</f>
        <v>13.770853232064704</v>
      </c>
      <c r="C23" s="41">
        <v>21.001000000000001</v>
      </c>
      <c r="D23" s="41">
        <f>Calculator!$D$7/Calculator!$D$6/Calculator!$C$27*1000/2/PI()</f>
        <v>0.42328442311674291</v>
      </c>
      <c r="E23" s="41">
        <f t="shared" si="0"/>
        <v>4.9735919716217296</v>
      </c>
      <c r="F23" s="41">
        <f t="shared" si="1"/>
        <v>265.25823848649225</v>
      </c>
      <c r="G23" s="41">
        <f>IF(Calculator!$C$35&lt;0.5,Calculator!$C$23/4/Calculator!$C$35*(1-SQRT(1-4*Calculator!$C$35^2)),Calculator!$C$23/2)</f>
        <v>58.289836315045932</v>
      </c>
      <c r="H23" s="41">
        <f>G23*2*PI()*Calculator!$C$25*0.01*Calculator!$D$7/Calculator!$D$6/(1-Calculator!$C$25*Calculator!$C$27*0.00001*(G23*2*PI())^2)</f>
        <v>-7.2681240073636131E-3</v>
      </c>
      <c r="I23" s="41">
        <f t="shared" si="2"/>
        <v>38.177166274078203</v>
      </c>
      <c r="J23" s="41">
        <f t="shared" si="3"/>
        <v>1.4344468431833539</v>
      </c>
      <c r="K23" s="41">
        <f>20*LOG10(1/Calculator!$D$7*1525000*(1+A23/E23)/(1+A23/D23)/(1+A23/G23)/2/PI()/A23/1000/(1+A23/F23))</f>
        <v>22.527341055545399</v>
      </c>
      <c r="L23" s="41">
        <f t="shared" si="4"/>
        <v>34.040698960954899</v>
      </c>
    </row>
    <row r="24" spans="1:12" x14ac:dyDescent="0.3">
      <c r="A24">
        <v>3</v>
      </c>
      <c r="B24" s="41">
        <f>Calculator!$C$36</f>
        <v>13.770853232064704</v>
      </c>
      <c r="C24" s="41">
        <v>22.001000000000001</v>
      </c>
      <c r="D24" s="41">
        <f>Calculator!$D$7/Calculator!$D$6/Calculator!$C$27*1000/2/PI()</f>
        <v>0.42328442311674291</v>
      </c>
      <c r="E24" s="41">
        <f t="shared" si="0"/>
        <v>4.9735919716217296</v>
      </c>
      <c r="F24" s="41">
        <f t="shared" si="1"/>
        <v>265.25823848649225</v>
      </c>
      <c r="G24" s="41">
        <f>IF(Calculator!$C$35&lt;0.5,Calculator!$C$23/4/Calculator!$C$35*(1-SQRT(1-4*Calculator!$C$35^2)),Calculator!$C$23/2)</f>
        <v>58.289836315045932</v>
      </c>
      <c r="H24" s="41">
        <f>G24*2*PI()*Calculator!$C$25*0.01*Calculator!$D$7/Calculator!$D$6/(1-Calculator!$C$25*Calculator!$C$27*0.00001*(G24*2*PI())^2)</f>
        <v>-7.2681240073636131E-3</v>
      </c>
      <c r="I24" s="41">
        <f t="shared" si="2"/>
        <v>38.177166274078203</v>
      </c>
      <c r="J24" s="41">
        <f t="shared" si="3"/>
        <v>1.4344468431833539</v>
      </c>
      <c r="K24" s="41">
        <f>20*LOG10(1/Calculator!$D$7*1525000*(1+A24/E24)/(1+A24/D24)/(1+A24/G24)/2/PI()/A24/1000/(1+A24/F24))</f>
        <v>20.04741612080106</v>
      </c>
      <c r="L24" s="41">
        <f t="shared" si="4"/>
        <v>36.420629865672161</v>
      </c>
    </row>
    <row r="25" spans="1:12" x14ac:dyDescent="0.3">
      <c r="A25">
        <v>3.5</v>
      </c>
      <c r="B25" s="41">
        <f>Calculator!$C$36</f>
        <v>13.770853232064704</v>
      </c>
      <c r="C25" s="41">
        <v>23.001000000000001</v>
      </c>
      <c r="D25" s="41">
        <f>Calculator!$D$7/Calculator!$D$6/Calculator!$C$27*1000/2/PI()</f>
        <v>0.42328442311674291</v>
      </c>
      <c r="E25" s="41">
        <f t="shared" si="0"/>
        <v>4.9735919716217296</v>
      </c>
      <c r="F25" s="41">
        <f t="shared" si="1"/>
        <v>265.25823848649225</v>
      </c>
      <c r="G25" s="41">
        <f>IF(Calculator!$C$35&lt;0.5,Calculator!$C$23/4/Calculator!$C$35*(1-SQRT(1-4*Calculator!$C$35^2)),Calculator!$C$23/2)</f>
        <v>58.289836315045932</v>
      </c>
      <c r="H25" s="41">
        <f>G25*2*PI()*Calculator!$C$25*0.01*Calculator!$D$7/Calculator!$D$6/(1-Calculator!$C$25*Calculator!$C$27*0.00001*(G25*2*PI())^2)</f>
        <v>-7.2681240073636131E-3</v>
      </c>
      <c r="I25" s="41">
        <f t="shared" si="2"/>
        <v>38.177166274078203</v>
      </c>
      <c r="J25" s="41">
        <f t="shared" si="3"/>
        <v>1.4344468431833539</v>
      </c>
      <c r="K25" s="41">
        <f>20*LOG10(1/Calculator!$D$7*1525000*(1+A25/E25)/(1+A25/D25)/(1+A25/G25)/2/PI()/A25/1000/(1+A25/F25))</f>
        <v>17.965868906032139</v>
      </c>
      <c r="L25" s="41">
        <f t="shared" si="4"/>
        <v>38.868889794821094</v>
      </c>
    </row>
    <row r="26" spans="1:12" x14ac:dyDescent="0.3">
      <c r="A26">
        <v>4</v>
      </c>
      <c r="B26" s="41">
        <f>Calculator!$C$36</f>
        <v>13.770853232064704</v>
      </c>
      <c r="C26" s="41">
        <v>1E-3</v>
      </c>
      <c r="D26" s="41">
        <f>Calculator!$D$7/Calculator!$D$6/Calculator!$C$27*1000/2/PI()</f>
        <v>0.42328442311674291</v>
      </c>
      <c r="E26" s="41">
        <f t="shared" ref="E26:E66" si="5">1/0.032/2/PI()</f>
        <v>4.9735919716217296</v>
      </c>
      <c r="F26" s="41">
        <f t="shared" ref="F26:F66" si="6">1/0.0006/2/PI()</f>
        <v>265.25823848649225</v>
      </c>
      <c r="G26" s="41">
        <f>IF(Calculator!$C$35&lt;0.5,Calculator!$C$23/4/Calculator!$C$35*(1-SQRT(1-4*Calculator!$C$35^2)),Calculator!$C$23/2)</f>
        <v>58.289836315045932</v>
      </c>
      <c r="H26" s="41">
        <f>G26*2*PI()*Calculator!$C$25*0.01*Calculator!$D$7/Calculator!$D$6/(1-Calculator!$C$25*Calculator!$C$27*0.00001*(G26*2*PI())^2)</f>
        <v>-7.2681240073636131E-3</v>
      </c>
      <c r="I26" s="41">
        <f t="shared" ref="I26" si="7">90+(ATAN(G26/D26)+ATAN(G26/66.3)-ATAN(G26/1061)-IF(ATAN(H26)&lt;0, PI()+ATAN(H26), ATAN(H26)))*180/PI()</f>
        <v>38.177166274078203</v>
      </c>
      <c r="J26" s="41">
        <f t="shared" ref="J26:J66" si="8">SQRT(COS(I26*PI()/180))/SIN(I26*PI()/180)</f>
        <v>1.4344468431833539</v>
      </c>
      <c r="K26" s="41">
        <f>20*LOG10(1/Calculator!$D$7*1525000*(1+A26/E26)/(1+A26/D26)/(1+A26/G26)/2/PI()/A26/1000/(1+A26/F26))</f>
        <v>16.175956755714065</v>
      </c>
      <c r="L26" s="41">
        <f t="shared" ref="L26" si="9">90+(-ATAN(A26/D26)+ATAN(A26/E26)-ATAN(A26/F26)-IF(ATAN(A26/J26/G26/(1-(A26/G26)^2))&gt;0,ATAN(A26/J26/G26/(1-(A26/G26)^2)),PI()+ATAN(A26/J26/G26/(1-(A26/G26)^2))))*180/PI()</f>
        <v>41.232761388355009</v>
      </c>
    </row>
    <row r="27" spans="1:12" x14ac:dyDescent="0.3">
      <c r="A27">
        <v>4.5</v>
      </c>
      <c r="B27" s="41">
        <f>Calculator!$C$36</f>
        <v>13.770853232064704</v>
      </c>
      <c r="C27" s="41">
        <v>1.0009999999999999</v>
      </c>
      <c r="D27" s="41">
        <f>Calculator!$D$7/Calculator!$D$6/Calculator!$C$27*1000/2/PI()</f>
        <v>0.42328442311674291</v>
      </c>
      <c r="E27" s="41">
        <f t="shared" si="5"/>
        <v>4.9735919716217296</v>
      </c>
      <c r="F27" s="41">
        <f t="shared" si="6"/>
        <v>265.25823848649225</v>
      </c>
      <c r="G27" s="41">
        <f>IF(Calculator!$C$35&lt;0.5,Calculator!$C$23/4/Calculator!$C$35*(1-SQRT(1-4*Calculator!$C$35^2)),Calculator!$C$23/2)</f>
        <v>58.289836315045932</v>
      </c>
      <c r="H27" s="41">
        <f>G27*2*PI()*Calculator!$C$25*0.01*Calculator!$D$7/Calculator!$D$6/(1-Calculator!$C$25*Calculator!$C$27*0.00001*(G27*2*PI())^2)</f>
        <v>-7.2681240073636131E-3</v>
      </c>
      <c r="I27" s="41">
        <f t="shared" ref="I27:I66" si="10">90+(ATAN(G27/D27)+ATAN(G27/66.3)-ATAN(G27/1061)-IF(ATAN(H27)&lt;0, PI()+ATAN(H27), ATAN(H27)))*180/PI()</f>
        <v>38.177166274078203</v>
      </c>
      <c r="J27" s="41">
        <f t="shared" si="8"/>
        <v>1.4344468431833539</v>
      </c>
      <c r="K27" s="41">
        <f>20*LOG10(1/Calculator!$D$7*1525000*(1+A27/E27)/(1+A27/D27)/(1+A27/G27)/2/PI()/A27/1000/(1+A27/F27))</f>
        <v>14.608114690939322</v>
      </c>
      <c r="L27" s="41">
        <f t="shared" ref="L27:L66" si="11">90+(-ATAN(A27/D27)+ATAN(A27/E27)-ATAN(A27/F27)-IF(ATAN(A27/J27/G27/(1-(A27/G27)^2))&gt;0,ATAN(A27/J27/G27/(1-(A27/G27)^2)),PI()+ATAN(A27/J27/G27/(1-(A27/G27)^2))))*180/PI()</f>
        <v>43.440769074850948</v>
      </c>
    </row>
    <row r="28" spans="1:12" x14ac:dyDescent="0.3">
      <c r="A28">
        <v>5</v>
      </c>
      <c r="B28" s="41">
        <f>Calculator!$C$36</f>
        <v>13.770853232064704</v>
      </c>
      <c r="C28" s="41">
        <v>2.0009999999999999</v>
      </c>
      <c r="D28" s="41">
        <f>Calculator!$D$7/Calculator!$D$6/Calculator!$C$27*1000/2/PI()</f>
        <v>0.42328442311674291</v>
      </c>
      <c r="E28" s="41">
        <f t="shared" si="5"/>
        <v>4.9735919716217296</v>
      </c>
      <c r="F28" s="41">
        <f t="shared" si="6"/>
        <v>265.25823848649225</v>
      </c>
      <c r="G28" s="41">
        <f>IF(Calculator!$C$35&lt;0.5,Calculator!$C$23/4/Calculator!$C$35*(1-SQRT(1-4*Calculator!$C$35^2)),Calculator!$C$23/2)</f>
        <v>58.289836315045932</v>
      </c>
      <c r="H28" s="41">
        <f>G28*2*PI()*Calculator!$C$25*0.01*Calculator!$D$7/Calculator!$D$6/(1-Calculator!$C$25*Calculator!$C$27*0.00001*(G28*2*PI())^2)</f>
        <v>-7.2681240073636131E-3</v>
      </c>
      <c r="I28" s="41">
        <f t="shared" si="10"/>
        <v>38.177166274078203</v>
      </c>
      <c r="J28" s="41">
        <f t="shared" si="8"/>
        <v>1.4344468431833539</v>
      </c>
      <c r="K28" s="41">
        <f>20*LOG10(1/Calculator!$D$7*1525000*(1+A28/E28)/(1+A28/D28)/(1+A28/G28)/2/PI()/A28/1000/(1+A28/F28))</f>
        <v>13.214577269636276</v>
      </c>
      <c r="L28" s="41">
        <f t="shared" si="11"/>
        <v>45.463328248243705</v>
      </c>
    </row>
    <row r="29" spans="1:12" x14ac:dyDescent="0.3">
      <c r="A29">
        <v>5.5</v>
      </c>
      <c r="B29" s="41">
        <f>Calculator!$C$36</f>
        <v>13.770853232064704</v>
      </c>
      <c r="C29" s="41">
        <v>3.0009999999999999</v>
      </c>
      <c r="D29" s="41">
        <f>Calculator!$D$7/Calculator!$D$6/Calculator!$C$27*1000/2/PI()</f>
        <v>0.42328442311674291</v>
      </c>
      <c r="E29" s="41">
        <f t="shared" si="5"/>
        <v>4.9735919716217296</v>
      </c>
      <c r="F29" s="41">
        <f t="shared" si="6"/>
        <v>265.25823848649225</v>
      </c>
      <c r="G29" s="41">
        <f>IF(Calculator!$C$35&lt;0.5,Calculator!$C$23/4/Calculator!$C$35*(1-SQRT(1-4*Calculator!$C$35^2)),Calculator!$C$23/2)</f>
        <v>58.289836315045932</v>
      </c>
      <c r="H29" s="41">
        <f>G29*2*PI()*Calculator!$C$25*0.01*Calculator!$D$7/Calculator!$D$6/(1-Calculator!$C$25*Calculator!$C$27*0.00001*(G29*2*PI())^2)</f>
        <v>-7.2681240073636131E-3</v>
      </c>
      <c r="I29" s="41">
        <f t="shared" si="10"/>
        <v>38.177166274078203</v>
      </c>
      <c r="J29" s="41">
        <f t="shared" si="8"/>
        <v>1.4344468431833539</v>
      </c>
      <c r="K29" s="41">
        <f>20*LOG10(1/Calculator!$D$7*1525000*(1+A29/E29)/(1+A29/D29)/(1+A29/G29)/2/PI()/A29/1000/(1+A29/F29))</f>
        <v>11.961195463650849</v>
      </c>
      <c r="L29" s="41">
        <f t="shared" si="11"/>
        <v>47.29318844139447</v>
      </c>
    </row>
    <row r="30" spans="1:12" x14ac:dyDescent="0.3">
      <c r="A30">
        <v>6</v>
      </c>
      <c r="B30" s="41">
        <f>Calculator!$C$36</f>
        <v>13.770853232064704</v>
      </c>
      <c r="C30" s="41">
        <v>4.0010000000000003</v>
      </c>
      <c r="D30" s="41">
        <f>Calculator!$D$7/Calculator!$D$6/Calculator!$C$27*1000/2/PI()</f>
        <v>0.42328442311674291</v>
      </c>
      <c r="E30" s="41">
        <f t="shared" si="5"/>
        <v>4.9735919716217296</v>
      </c>
      <c r="F30" s="41">
        <f t="shared" si="6"/>
        <v>265.25823848649225</v>
      </c>
      <c r="G30" s="41">
        <f>IF(Calculator!$C$35&lt;0.5,Calculator!$C$23/4/Calculator!$C$35*(1-SQRT(1-4*Calculator!$C$35^2)),Calculator!$C$23/2)</f>
        <v>58.289836315045932</v>
      </c>
      <c r="H30" s="41">
        <f>G30*2*PI()*Calculator!$C$25*0.01*Calculator!$D$7/Calculator!$D$6/(1-Calculator!$C$25*Calculator!$C$27*0.00001*(G30*2*PI())^2)</f>
        <v>-7.2681240073636131E-3</v>
      </c>
      <c r="I30" s="41">
        <f t="shared" si="10"/>
        <v>38.177166274078203</v>
      </c>
      <c r="J30" s="41">
        <f t="shared" si="8"/>
        <v>1.4344468431833539</v>
      </c>
      <c r="K30" s="41">
        <f>20*LOG10(1/Calculator!$D$7*1525000*(1+A30/E30)/(1+A30/D30)/(1+A30/G30)/2/PI()/A30/1000/(1+A30/F30))</f>
        <v>10.822754279755927</v>
      </c>
      <c r="L30" s="41">
        <f t="shared" si="11"/>
        <v>48.934950859657683</v>
      </c>
    </row>
    <row r="31" spans="1:12" x14ac:dyDescent="0.3">
      <c r="A31">
        <v>7</v>
      </c>
      <c r="B31" s="41">
        <f>Calculator!$C$36</f>
        <v>13.770853232064704</v>
      </c>
      <c r="C31" s="41">
        <v>5.0010000000000003</v>
      </c>
      <c r="D31" s="41">
        <f>Calculator!$D$7/Calculator!$D$6/Calculator!$C$27*1000/2/PI()</f>
        <v>0.42328442311674291</v>
      </c>
      <c r="E31" s="41">
        <f t="shared" si="5"/>
        <v>4.9735919716217296</v>
      </c>
      <c r="F31" s="41">
        <f t="shared" si="6"/>
        <v>265.25823848649225</v>
      </c>
      <c r="G31" s="41">
        <f>IF(Calculator!$C$35&lt;0.5,Calculator!$C$23/4/Calculator!$C$35*(1-SQRT(1-4*Calculator!$C$35^2)),Calculator!$C$23/2)</f>
        <v>58.289836315045932</v>
      </c>
      <c r="H31" s="41">
        <f>G31*2*PI()*Calculator!$C$25*0.01*Calculator!$D$7/Calculator!$D$6/(1-Calculator!$C$25*Calculator!$C$27*0.00001*(G31*2*PI())^2)</f>
        <v>-7.2681240073636131E-3</v>
      </c>
      <c r="I31" s="41">
        <f t="shared" si="10"/>
        <v>38.177166274078203</v>
      </c>
      <c r="J31" s="41">
        <f t="shared" si="8"/>
        <v>1.4344468431833539</v>
      </c>
      <c r="K31" s="41">
        <f>20*LOG10(1/Calculator!$D$7*1525000*(1+A31/E31)/(1+A31/D31)/(1+A31/G31)/2/PI()/A31/1000/(1+A31/F31))</f>
        <v>8.8185254031233242</v>
      </c>
      <c r="L31" s="41">
        <f t="shared" si="11"/>
        <v>51.699231316082603</v>
      </c>
    </row>
    <row r="32" spans="1:12" x14ac:dyDescent="0.3">
      <c r="A32">
        <v>8</v>
      </c>
      <c r="B32" s="41">
        <f>Calculator!$C$36</f>
        <v>13.770853232064704</v>
      </c>
      <c r="C32" s="41">
        <v>6.0010000000000003</v>
      </c>
      <c r="D32" s="41">
        <f>Calculator!$D$7/Calculator!$D$6/Calculator!$C$27*1000/2/PI()</f>
        <v>0.42328442311674291</v>
      </c>
      <c r="E32" s="41">
        <f t="shared" si="5"/>
        <v>4.9735919716217296</v>
      </c>
      <c r="F32" s="41">
        <f t="shared" si="6"/>
        <v>265.25823848649225</v>
      </c>
      <c r="G32" s="41">
        <f>IF(Calculator!$C$35&lt;0.5,Calculator!$C$23/4/Calculator!$C$35*(1-SQRT(1-4*Calculator!$C$35^2)),Calculator!$C$23/2)</f>
        <v>58.289836315045932</v>
      </c>
      <c r="H32" s="41">
        <f>G32*2*PI()*Calculator!$C$25*0.01*Calculator!$D$7/Calculator!$D$6/(1-Calculator!$C$25*Calculator!$C$27*0.00001*(G32*2*PI())^2)</f>
        <v>-7.2681240073636131E-3</v>
      </c>
      <c r="I32" s="41">
        <f t="shared" si="10"/>
        <v>38.177166274078203</v>
      </c>
      <c r="J32" s="41">
        <f t="shared" si="8"/>
        <v>1.4344468431833539</v>
      </c>
      <c r="K32" s="41">
        <f>20*LOG10(1/Calculator!$D$7*1525000*(1+A32/E32)/(1+A32/D32)/(1+A32/G32)/2/PI()/A32/1000/(1+A32/F32))</f>
        <v>7.0938227628871084</v>
      </c>
      <c r="L32" s="41">
        <f t="shared" si="11"/>
        <v>53.862490068436962</v>
      </c>
    </row>
    <row r="33" spans="1:12" x14ac:dyDescent="0.3">
      <c r="A33">
        <v>9</v>
      </c>
      <c r="B33" s="41">
        <f>Calculator!$C$36</f>
        <v>13.770853232064704</v>
      </c>
      <c r="C33" s="41">
        <v>7.0010000000000003</v>
      </c>
      <c r="D33" s="41">
        <f>Calculator!$D$7/Calculator!$D$6/Calculator!$C$27*1000/2/PI()</f>
        <v>0.42328442311674291</v>
      </c>
      <c r="E33" s="41">
        <f t="shared" si="5"/>
        <v>4.9735919716217296</v>
      </c>
      <c r="F33" s="41">
        <f t="shared" si="6"/>
        <v>265.25823848649225</v>
      </c>
      <c r="G33" s="41">
        <f>IF(Calculator!$C$35&lt;0.5,Calculator!$C$23/4/Calculator!$C$35*(1-SQRT(1-4*Calculator!$C$35^2)),Calculator!$C$23/2)</f>
        <v>58.289836315045932</v>
      </c>
      <c r="H33" s="41">
        <f>G33*2*PI()*Calculator!$C$25*0.01*Calculator!$D$7/Calculator!$D$6/(1-Calculator!$C$25*Calculator!$C$27*0.00001*(G33*2*PI())^2)</f>
        <v>-7.2681240073636131E-3</v>
      </c>
      <c r="I33" s="41">
        <f t="shared" si="10"/>
        <v>38.177166274078203</v>
      </c>
      <c r="J33" s="41">
        <f t="shared" si="8"/>
        <v>1.4344468431833539</v>
      </c>
      <c r="K33" s="41">
        <f>20*LOG10(1/Calculator!$D$7*1525000*(1+A33/E33)/(1+A33/D33)/(1+A33/G33)/2/PI()/A33/1000/(1+A33/F33))</f>
        <v>5.5795332237569761</v>
      </c>
      <c r="L33" s="41">
        <f t="shared" si="11"/>
        <v>55.531106267806436</v>
      </c>
    </row>
    <row r="34" spans="1:12" x14ac:dyDescent="0.3">
      <c r="A34">
        <v>10</v>
      </c>
      <c r="B34" s="41">
        <f>Calculator!$C$36</f>
        <v>13.770853232064704</v>
      </c>
      <c r="C34" s="41">
        <v>8.0009999999999994</v>
      </c>
      <c r="D34" s="41">
        <f>Calculator!$D$7/Calculator!$D$6/Calculator!$C$27*1000/2/PI()</f>
        <v>0.42328442311674291</v>
      </c>
      <c r="E34" s="41">
        <f t="shared" si="5"/>
        <v>4.9735919716217296</v>
      </c>
      <c r="F34" s="41">
        <f t="shared" si="6"/>
        <v>265.25823848649225</v>
      </c>
      <c r="G34" s="41">
        <f>IF(Calculator!$C$35&lt;0.5,Calculator!$C$23/4/Calculator!$C$35*(1-SQRT(1-4*Calculator!$C$35^2)),Calculator!$C$23/2)</f>
        <v>58.289836315045932</v>
      </c>
      <c r="H34" s="41">
        <f>G34*2*PI()*Calculator!$C$25*0.01*Calculator!$D$7/Calculator!$D$6/(1-Calculator!$C$25*Calculator!$C$27*0.00001*(G34*2*PI())^2)</f>
        <v>-7.2681240073636131E-3</v>
      </c>
      <c r="I34" s="41">
        <f t="shared" si="10"/>
        <v>38.177166274078203</v>
      </c>
      <c r="J34" s="41">
        <f t="shared" si="8"/>
        <v>1.4344468431833539</v>
      </c>
      <c r="K34" s="41">
        <f>20*LOG10(1/Calculator!$D$7*1525000*(1+A34/E34)/(1+A34/D34)/(1+A34/G34)/2/PI()/A34/1000/(1+A34/F34))</f>
        <v>4.2289514898887974</v>
      </c>
      <c r="L34" s="41">
        <f t="shared" si="11"/>
        <v>56.796115691983118</v>
      </c>
    </row>
    <row r="35" spans="1:12" x14ac:dyDescent="0.3">
      <c r="A35">
        <v>12</v>
      </c>
      <c r="B35" s="41">
        <f>Calculator!$C$36</f>
        <v>13.770853232064704</v>
      </c>
      <c r="C35" s="41">
        <v>9.0009999999999994</v>
      </c>
      <c r="D35" s="41">
        <f>Calculator!$D$7/Calculator!$D$6/Calculator!$C$27*1000/2/PI()</f>
        <v>0.42328442311674291</v>
      </c>
      <c r="E35" s="41">
        <f t="shared" si="5"/>
        <v>4.9735919716217296</v>
      </c>
      <c r="F35" s="41">
        <f t="shared" si="6"/>
        <v>265.25823848649225</v>
      </c>
      <c r="G35" s="41">
        <f>IF(Calculator!$C$35&lt;0.5,Calculator!$C$23/4/Calculator!$C$35*(1-SQRT(1-4*Calculator!$C$35^2)),Calculator!$C$23/2)</f>
        <v>58.289836315045932</v>
      </c>
      <c r="H35" s="41">
        <f>G35*2*PI()*Calculator!$C$25*0.01*Calculator!$D$7/Calculator!$D$6/(1-Calculator!$C$25*Calculator!$C$27*0.00001*(G35*2*PI())^2)</f>
        <v>-7.2681240073636131E-3</v>
      </c>
      <c r="I35" s="41">
        <f t="shared" si="10"/>
        <v>38.177166274078203</v>
      </c>
      <c r="J35" s="41">
        <f t="shared" si="8"/>
        <v>1.4344468431833539</v>
      </c>
      <c r="K35" s="41">
        <f>20*LOG10(1/Calculator!$D$7*1525000*(1+A35/E35)/(1+A35/D35)/(1+A35/G35)/2/PI()/A35/1000/(1+A35/F35))</f>
        <v>1.8960331740772838</v>
      </c>
      <c r="L35" s="41">
        <f t="shared" si="11"/>
        <v>58.394200624661636</v>
      </c>
    </row>
    <row r="36" spans="1:12" x14ac:dyDescent="0.3">
      <c r="A36">
        <v>15</v>
      </c>
      <c r="B36" s="41">
        <f>Calculator!$C$36</f>
        <v>13.770853232064704</v>
      </c>
      <c r="C36" s="41">
        <v>10.000999999999999</v>
      </c>
      <c r="D36" s="41">
        <f>Calculator!$D$7/Calculator!$D$6/Calculator!$C$27*1000/2/PI()</f>
        <v>0.42328442311674291</v>
      </c>
      <c r="E36" s="41">
        <f t="shared" si="5"/>
        <v>4.9735919716217296</v>
      </c>
      <c r="F36" s="41">
        <f t="shared" si="6"/>
        <v>265.25823848649225</v>
      </c>
      <c r="G36" s="41">
        <f>IF(Calculator!$C$35&lt;0.5,Calculator!$C$23/4/Calculator!$C$35*(1-SQRT(1-4*Calculator!$C$35^2)),Calculator!$C$23/2)</f>
        <v>58.289836315045932</v>
      </c>
      <c r="H36" s="41">
        <f>G36*2*PI()*Calculator!$C$25*0.01*Calculator!$D$7/Calculator!$D$6/(1-Calculator!$C$25*Calculator!$C$27*0.00001*(G36*2*PI())^2)</f>
        <v>-7.2681240073636131E-3</v>
      </c>
      <c r="I36" s="41">
        <f t="shared" si="10"/>
        <v>38.177166274078203</v>
      </c>
      <c r="J36" s="41">
        <f t="shared" si="8"/>
        <v>1.4344468431833539</v>
      </c>
      <c r="K36" s="41">
        <f>20*LOG10(1/Calculator!$D$7*1525000*(1+A36/E36)/(1+A36/D36)/(1+A36/G36)/2/PI()/A36/1000/(1+A36/F36))</f>
        <v>-0.96383051935823261</v>
      </c>
      <c r="L36" s="41">
        <f t="shared" si="11"/>
        <v>59.160636823016318</v>
      </c>
    </row>
    <row r="37" spans="1:12" x14ac:dyDescent="0.3">
      <c r="A37">
        <v>18</v>
      </c>
      <c r="B37" s="41">
        <f>Calculator!$C$36</f>
        <v>13.770853232064704</v>
      </c>
      <c r="C37" s="41">
        <v>11.000999999999999</v>
      </c>
      <c r="D37" s="41">
        <f>Calculator!$D$7/Calculator!$D$6/Calculator!$C$27*1000/2/PI()</f>
        <v>0.42328442311674291</v>
      </c>
      <c r="E37" s="41">
        <f t="shared" si="5"/>
        <v>4.9735919716217296</v>
      </c>
      <c r="F37" s="41">
        <f t="shared" si="6"/>
        <v>265.25823848649225</v>
      </c>
      <c r="G37" s="41">
        <f>IF(Calculator!$C$35&lt;0.5,Calculator!$C$23/4/Calculator!$C$35*(1-SQRT(1-4*Calculator!$C$35^2)),Calculator!$C$23/2)</f>
        <v>58.289836315045932</v>
      </c>
      <c r="H37" s="41">
        <f>G37*2*PI()*Calculator!$C$25*0.01*Calculator!$D$7/Calculator!$D$6/(1-Calculator!$C$25*Calculator!$C$27*0.00001*(G37*2*PI())^2)</f>
        <v>-7.2681240073636131E-3</v>
      </c>
      <c r="I37" s="41">
        <f t="shared" si="10"/>
        <v>38.177166274078203</v>
      </c>
      <c r="J37" s="41">
        <f t="shared" si="8"/>
        <v>1.4344468431833539</v>
      </c>
      <c r="K37" s="41">
        <f>20*LOG10(1/Calculator!$D$7*1525000*(1+A37/E37)/(1+A37/D37)/(1+A37/G37)/2/PI()/A37/1000/(1+A37/F37))</f>
        <v>-3.3167465010174575</v>
      </c>
      <c r="L37" s="41">
        <f t="shared" si="11"/>
        <v>58.633413167589438</v>
      </c>
    </row>
    <row r="38" spans="1:12" x14ac:dyDescent="0.3">
      <c r="A38">
        <v>20</v>
      </c>
      <c r="B38" s="41">
        <f>Calculator!$C$36</f>
        <v>13.770853232064704</v>
      </c>
      <c r="C38" s="41">
        <v>12.000999999999999</v>
      </c>
      <c r="D38" s="41">
        <f>Calculator!$D$7/Calculator!$D$6/Calculator!$C$27*1000/2/PI()</f>
        <v>0.42328442311674291</v>
      </c>
      <c r="E38" s="41">
        <f t="shared" si="5"/>
        <v>4.9735919716217296</v>
      </c>
      <c r="F38" s="41">
        <f t="shared" si="6"/>
        <v>265.25823848649225</v>
      </c>
      <c r="G38" s="41">
        <f>IF(Calculator!$C$35&lt;0.5,Calculator!$C$23/4/Calculator!$C$35*(1-SQRT(1-4*Calculator!$C$35^2)),Calculator!$C$23/2)</f>
        <v>58.289836315045932</v>
      </c>
      <c r="H38" s="41">
        <f>G38*2*PI()*Calculator!$C$25*0.01*Calculator!$D$7/Calculator!$D$6/(1-Calculator!$C$25*Calculator!$C$27*0.00001*(G38*2*PI())^2)</f>
        <v>-7.2681240073636131E-3</v>
      </c>
      <c r="I38" s="41">
        <f t="shared" si="10"/>
        <v>38.177166274078203</v>
      </c>
      <c r="J38" s="41">
        <f t="shared" si="8"/>
        <v>1.4344468431833539</v>
      </c>
      <c r="K38" s="41">
        <f>20*LOG10(1/Calculator!$D$7*1525000*(1+A38/E38)/(1+A38/D38)/(1+A38/G38)/2/PI()/A38/1000/(1+A38/F38))</f>
        <v>-4.6879116773894474</v>
      </c>
      <c r="L38" s="41">
        <f t="shared" si="11"/>
        <v>57.766612969777348</v>
      </c>
    </row>
    <row r="39" spans="1:12" x14ac:dyDescent="0.3">
      <c r="A39">
        <v>25</v>
      </c>
      <c r="B39" s="41">
        <f>Calculator!$C$36</f>
        <v>13.770853232064704</v>
      </c>
      <c r="C39" s="41">
        <v>13.000999999999999</v>
      </c>
      <c r="D39" s="41">
        <f>Calculator!$D$7/Calculator!$D$6/Calculator!$C$27*1000/2/PI()</f>
        <v>0.42328442311674291</v>
      </c>
      <c r="E39" s="41">
        <f t="shared" si="5"/>
        <v>4.9735919716217296</v>
      </c>
      <c r="F39" s="41">
        <f t="shared" si="6"/>
        <v>265.25823848649225</v>
      </c>
      <c r="G39" s="41">
        <f>IF(Calculator!$C$35&lt;0.5,Calculator!$C$23/4/Calculator!$C$35*(1-SQRT(1-4*Calculator!$C$35^2)),Calculator!$C$23/2)</f>
        <v>58.289836315045932</v>
      </c>
      <c r="H39" s="41">
        <f>G39*2*PI()*Calculator!$C$25*0.01*Calculator!$D$7/Calculator!$D$6/(1-Calculator!$C$25*Calculator!$C$27*0.00001*(G39*2*PI())^2)</f>
        <v>-7.2681240073636131E-3</v>
      </c>
      <c r="I39" s="41">
        <f t="shared" si="10"/>
        <v>38.177166274078203</v>
      </c>
      <c r="J39" s="41">
        <f t="shared" si="8"/>
        <v>1.4344468431833539</v>
      </c>
      <c r="K39" s="41">
        <f>20*LOG10(1/Calculator!$D$7*1525000*(1+A39/E39)/(1+A39/D39)/(1+A39/G39)/2/PI()/A39/1000/(1+A39/F39))</f>
        <v>-7.6317374207046731</v>
      </c>
      <c r="L39" s="41">
        <f t="shared" si="11"/>
        <v>54.211806045786638</v>
      </c>
    </row>
    <row r="40" spans="1:12" x14ac:dyDescent="0.3">
      <c r="A40">
        <v>30</v>
      </c>
      <c r="B40" s="41">
        <f>Calculator!$C$36</f>
        <v>13.770853232064704</v>
      </c>
      <c r="C40" s="41">
        <v>14.000999999999999</v>
      </c>
      <c r="D40" s="41">
        <f>Calculator!$D$7/Calculator!$D$6/Calculator!$C$27*1000/2/PI()</f>
        <v>0.42328442311674291</v>
      </c>
      <c r="E40" s="41">
        <f t="shared" si="5"/>
        <v>4.9735919716217296</v>
      </c>
      <c r="F40" s="41">
        <f t="shared" si="6"/>
        <v>265.25823848649225</v>
      </c>
      <c r="G40" s="41">
        <f>IF(Calculator!$C$35&lt;0.5,Calculator!$C$23/4/Calculator!$C$35*(1-SQRT(1-4*Calculator!$C$35^2)),Calculator!$C$23/2)</f>
        <v>58.289836315045932</v>
      </c>
      <c r="H40" s="41">
        <f>G40*2*PI()*Calculator!$C$25*0.01*Calculator!$D$7/Calculator!$D$6/(1-Calculator!$C$25*Calculator!$C$27*0.00001*(G40*2*PI())^2)</f>
        <v>-7.2681240073636131E-3</v>
      </c>
      <c r="I40" s="41">
        <f t="shared" si="10"/>
        <v>38.177166274078203</v>
      </c>
      <c r="J40" s="41">
        <f t="shared" si="8"/>
        <v>1.4344468431833539</v>
      </c>
      <c r="K40" s="41">
        <f>20*LOG10(1/Calculator!$D$7*1525000*(1+A40/E40)/(1+A40/D40)/(1+A40/G40)/2/PI()/A40/1000/(1+A40/F40))</f>
        <v>-10.089545656009204</v>
      </c>
      <c r="L40" s="41">
        <f t="shared" si="11"/>
        <v>48.926589362283906</v>
      </c>
    </row>
    <row r="41" spans="1:12" x14ac:dyDescent="0.3">
      <c r="A41">
        <v>35</v>
      </c>
      <c r="B41" s="41">
        <f>Calculator!$C$36</f>
        <v>13.770853232064704</v>
      </c>
      <c r="C41" s="41">
        <v>15.000999999999999</v>
      </c>
      <c r="D41" s="41">
        <f>Calculator!$D$7/Calculator!$D$6/Calculator!$C$27*1000/2/PI()</f>
        <v>0.42328442311674291</v>
      </c>
      <c r="E41" s="41">
        <f t="shared" si="5"/>
        <v>4.9735919716217296</v>
      </c>
      <c r="F41" s="41">
        <f t="shared" si="6"/>
        <v>265.25823848649225</v>
      </c>
      <c r="G41" s="41">
        <f>IF(Calculator!$C$35&lt;0.5,Calculator!$C$23/4/Calculator!$C$35*(1-SQRT(1-4*Calculator!$C$35^2)),Calculator!$C$23/2)</f>
        <v>58.289836315045932</v>
      </c>
      <c r="H41" s="41">
        <f>G41*2*PI()*Calculator!$C$25*0.01*Calculator!$D$7/Calculator!$D$6/(1-Calculator!$C$25*Calculator!$C$27*0.00001*(G41*2*PI())^2)</f>
        <v>-7.2681240073636131E-3</v>
      </c>
      <c r="I41" s="41">
        <f t="shared" si="10"/>
        <v>38.177166274078203</v>
      </c>
      <c r="J41" s="41">
        <f t="shared" si="8"/>
        <v>1.4344468431833539</v>
      </c>
      <c r="K41" s="41">
        <f>20*LOG10(1/Calculator!$D$7*1525000*(1+A41/E41)/(1+A41/D41)/(1+A41/G41)/2/PI()/A41/1000/(1+A41/F41))</f>
        <v>-12.213807844840453</v>
      </c>
      <c r="L41" s="41">
        <f t="shared" si="11"/>
        <v>41.879843620014718</v>
      </c>
    </row>
    <row r="42" spans="1:12" x14ac:dyDescent="0.3">
      <c r="A42">
        <v>40</v>
      </c>
      <c r="B42" s="41">
        <f>Calculator!$C$36</f>
        <v>13.770853232064704</v>
      </c>
      <c r="C42" s="41">
        <v>16.001000000000001</v>
      </c>
      <c r="D42" s="41">
        <f>Calculator!$D$7/Calculator!$D$6/Calculator!$C$27*1000/2/PI()</f>
        <v>0.42328442311674291</v>
      </c>
      <c r="E42" s="41">
        <f t="shared" si="5"/>
        <v>4.9735919716217296</v>
      </c>
      <c r="F42" s="41">
        <f t="shared" si="6"/>
        <v>265.25823848649225</v>
      </c>
      <c r="G42" s="41">
        <f>IF(Calculator!$C$35&lt;0.5,Calculator!$C$23/4/Calculator!$C$35*(1-SQRT(1-4*Calculator!$C$35^2)),Calculator!$C$23/2)</f>
        <v>58.289836315045932</v>
      </c>
      <c r="H42" s="41">
        <f>G42*2*PI()*Calculator!$C$25*0.01*Calculator!$D$7/Calculator!$D$6/(1-Calculator!$C$25*Calculator!$C$27*0.00001*(G42*2*PI())^2)</f>
        <v>-7.2681240073636131E-3</v>
      </c>
      <c r="I42" s="41">
        <f t="shared" si="10"/>
        <v>38.177166274078203</v>
      </c>
      <c r="J42" s="41">
        <f t="shared" si="8"/>
        <v>1.4344468431833539</v>
      </c>
      <c r="K42" s="41">
        <f>20*LOG10(1/Calculator!$D$7*1525000*(1+A42/E42)/(1+A42/D42)/(1+A42/G42)/2/PI()/A42/1000/(1+A42/F42))</f>
        <v>-14.093749044410709</v>
      </c>
      <c r="L42" s="41">
        <f t="shared" si="11"/>
        <v>32.824198991400046</v>
      </c>
    </row>
    <row r="43" spans="1:12" x14ac:dyDescent="0.3">
      <c r="A43">
        <v>45</v>
      </c>
      <c r="B43" s="41">
        <f>Calculator!$C$36</f>
        <v>13.770853232064704</v>
      </c>
      <c r="C43" s="41">
        <v>17.001000000000001</v>
      </c>
      <c r="D43" s="41">
        <f>Calculator!$D$7/Calculator!$D$6/Calculator!$C$27*1000/2/PI()</f>
        <v>0.42328442311674291</v>
      </c>
      <c r="E43" s="41">
        <f t="shared" si="5"/>
        <v>4.9735919716217296</v>
      </c>
      <c r="F43" s="41">
        <f t="shared" si="6"/>
        <v>265.25823848649225</v>
      </c>
      <c r="G43" s="41">
        <f>IF(Calculator!$C$35&lt;0.5,Calculator!$C$23/4/Calculator!$C$35*(1-SQRT(1-4*Calculator!$C$35^2)),Calculator!$C$23/2)</f>
        <v>58.289836315045932</v>
      </c>
      <c r="H43" s="41">
        <f>G43*2*PI()*Calculator!$C$25*0.01*Calculator!$D$7/Calculator!$D$6/(1-Calculator!$C$25*Calculator!$C$27*0.00001*(G43*2*PI())^2)</f>
        <v>-7.2681240073636131E-3</v>
      </c>
      <c r="I43" s="41">
        <f t="shared" si="10"/>
        <v>38.177166274078203</v>
      </c>
      <c r="J43" s="41">
        <f t="shared" si="8"/>
        <v>1.4344468431833539</v>
      </c>
      <c r="K43" s="41">
        <f>20*LOG10(1/Calculator!$D$7*1525000*(1+A43/E43)/(1+A43/D43)/(1+A43/G43)/2/PI()/A43/1000/(1+A43/F43))</f>
        <v>-15.786176514971146</v>
      </c>
      <c r="L43" s="41">
        <f t="shared" si="11"/>
        <v>21.498538031719519</v>
      </c>
    </row>
    <row r="44" spans="1:12" x14ac:dyDescent="0.3">
      <c r="A44">
        <v>50</v>
      </c>
      <c r="B44" s="41">
        <f>Calculator!$C$36</f>
        <v>13.770853232064704</v>
      </c>
      <c r="C44" s="41">
        <v>18.001000000000001</v>
      </c>
      <c r="D44" s="41">
        <f>Calculator!$D$7/Calculator!$D$6/Calculator!$C$27*1000/2/PI()</f>
        <v>0.42328442311674291</v>
      </c>
      <c r="E44" s="41">
        <f t="shared" si="5"/>
        <v>4.9735919716217296</v>
      </c>
      <c r="F44" s="41">
        <f t="shared" si="6"/>
        <v>265.25823848649225</v>
      </c>
      <c r="G44" s="41">
        <f>IF(Calculator!$C$35&lt;0.5,Calculator!$C$23/4/Calculator!$C$35*(1-SQRT(1-4*Calculator!$C$35^2)),Calculator!$C$23/2)</f>
        <v>58.289836315045932</v>
      </c>
      <c r="H44" s="41">
        <f>G44*2*PI()*Calculator!$C$25*0.01*Calculator!$D$7/Calculator!$D$6/(1-Calculator!$C$25*Calculator!$C$27*0.00001*(G44*2*PI())^2)</f>
        <v>-7.2681240073636131E-3</v>
      </c>
      <c r="I44" s="41">
        <f t="shared" si="10"/>
        <v>38.177166274078203</v>
      </c>
      <c r="J44" s="41">
        <f t="shared" si="8"/>
        <v>1.4344468431833539</v>
      </c>
      <c r="K44" s="41">
        <f>20*LOG10(1/Calculator!$D$7*1525000*(1+A44/E44)/(1+A44/D44)/(1+A44/G44)/2/PI()/A44/1000/(1+A44/F44))</f>
        <v>-17.32957191488785</v>
      </c>
      <c r="L44" s="41">
        <f t="shared" si="11"/>
        <v>7.9669406224484618</v>
      </c>
    </row>
    <row r="45" spans="1:12" x14ac:dyDescent="0.3">
      <c r="A45">
        <v>55</v>
      </c>
      <c r="B45" s="41">
        <f>Calculator!$C$36</f>
        <v>13.770853232064704</v>
      </c>
      <c r="C45" s="41">
        <v>19.001000000000001</v>
      </c>
      <c r="D45" s="41">
        <f>Calculator!$D$7/Calculator!$D$6/Calculator!$C$27*1000/2/PI()</f>
        <v>0.42328442311674291</v>
      </c>
      <c r="E45" s="41">
        <f t="shared" si="5"/>
        <v>4.9735919716217296</v>
      </c>
      <c r="F45" s="41">
        <f t="shared" si="6"/>
        <v>265.25823848649225</v>
      </c>
      <c r="G45" s="41">
        <f>IF(Calculator!$C$35&lt;0.5,Calculator!$C$23/4/Calculator!$C$35*(1-SQRT(1-4*Calculator!$C$35^2)),Calculator!$C$23/2)</f>
        <v>58.289836315045932</v>
      </c>
      <c r="H45" s="41">
        <f>G45*2*PI()*Calculator!$C$25*0.01*Calculator!$D$7/Calculator!$D$6/(1-Calculator!$C$25*Calculator!$C$27*0.00001*(G45*2*PI())^2)</f>
        <v>-7.2681240073636131E-3</v>
      </c>
      <c r="I45" s="41">
        <f t="shared" si="10"/>
        <v>38.177166274078203</v>
      </c>
      <c r="J45" s="41">
        <f t="shared" si="8"/>
        <v>1.4344468431833539</v>
      </c>
      <c r="K45" s="41">
        <f>20*LOG10(1/Calculator!$D$7*1525000*(1+A45/E45)/(1+A45/D45)/(1+A45/G45)/2/PI()/A45/1000/(1+A45/F45))</f>
        <v>-18.751271617549676</v>
      </c>
      <c r="L45" s="41">
        <f t="shared" si="11"/>
        <v>-6.9726372847220688</v>
      </c>
    </row>
    <row r="46" spans="1:12" x14ac:dyDescent="0.3">
      <c r="A46">
        <v>60</v>
      </c>
      <c r="B46" s="41">
        <f>Calculator!$C$36</f>
        <v>13.770853232064704</v>
      </c>
      <c r="C46" s="41">
        <v>20.001000000000001</v>
      </c>
      <c r="D46" s="41">
        <f>Calculator!$D$7/Calculator!$D$6/Calculator!$C$27*1000/2/PI()</f>
        <v>0.42328442311674291</v>
      </c>
      <c r="E46" s="41">
        <f t="shared" si="5"/>
        <v>4.9735919716217296</v>
      </c>
      <c r="F46" s="41">
        <f t="shared" si="6"/>
        <v>265.25823848649225</v>
      </c>
      <c r="G46" s="41">
        <f>IF(Calculator!$C$35&lt;0.5,Calculator!$C$23/4/Calculator!$C$35*(1-SQRT(1-4*Calculator!$C$35^2)),Calculator!$C$23/2)</f>
        <v>58.289836315045932</v>
      </c>
      <c r="H46" s="41">
        <f>G46*2*PI()*Calculator!$C$25*0.01*Calculator!$D$7/Calculator!$D$6/(1-Calculator!$C$25*Calculator!$C$27*0.00001*(G46*2*PI())^2)</f>
        <v>-7.2681240073636131E-3</v>
      </c>
      <c r="I46" s="41">
        <f t="shared" si="10"/>
        <v>38.177166274078203</v>
      </c>
      <c r="J46" s="41">
        <f t="shared" si="8"/>
        <v>1.4344468431833539</v>
      </c>
      <c r="K46" s="41">
        <f>20*LOG10(1/Calculator!$D$7*1525000*(1+A46/E46)/(1+A46/D46)/(1+A46/G46)/2/PI()/A46/1000/(1+A46/F46))</f>
        <v>-20.071437437674369</v>
      </c>
      <c r="L46" s="41">
        <f t="shared" si="11"/>
        <v>-21.822929802555294</v>
      </c>
    </row>
    <row r="47" spans="1:12" x14ac:dyDescent="0.3">
      <c r="A47">
        <v>70</v>
      </c>
      <c r="B47" s="41">
        <f>Calculator!$C$36</f>
        <v>13.770853232064704</v>
      </c>
      <c r="C47" s="41">
        <v>21.001000000000001</v>
      </c>
      <c r="D47" s="41">
        <f>Calculator!$D$7/Calculator!$D$6/Calculator!$C$27*1000/2/PI()</f>
        <v>0.42328442311674291</v>
      </c>
      <c r="E47" s="41">
        <f t="shared" si="5"/>
        <v>4.9735919716217296</v>
      </c>
      <c r="F47" s="41">
        <f t="shared" si="6"/>
        <v>265.25823848649225</v>
      </c>
      <c r="G47" s="41">
        <f>IF(Calculator!$C$35&lt;0.5,Calculator!$C$23/4/Calculator!$C$35*(1-SQRT(1-4*Calculator!$C$35^2)),Calculator!$C$23/2)</f>
        <v>58.289836315045932</v>
      </c>
      <c r="H47" s="41">
        <f>G47*2*PI()*Calculator!$C$25*0.01*Calculator!$D$7/Calculator!$D$6/(1-Calculator!$C$25*Calculator!$C$27*0.00001*(G47*2*PI())^2)</f>
        <v>-7.2681240073636131E-3</v>
      </c>
      <c r="I47" s="41">
        <f t="shared" si="10"/>
        <v>38.177166274078203</v>
      </c>
      <c r="J47" s="41">
        <f t="shared" si="8"/>
        <v>1.4344468431833539</v>
      </c>
      <c r="K47" s="41">
        <f>20*LOG10(1/Calculator!$D$7*1525000*(1+A47/E47)/(1+A47/D47)/(1+A47/G47)/2/PI()/A47/1000/(1+A47/F47))</f>
        <v>-22.465102816190623</v>
      </c>
      <c r="L47" s="41">
        <f t="shared" si="11"/>
        <v>-46.340952100720415</v>
      </c>
    </row>
    <row r="48" spans="1:12" x14ac:dyDescent="0.3">
      <c r="A48">
        <v>80</v>
      </c>
      <c r="B48" s="41">
        <f>Calculator!$C$36</f>
        <v>13.770853232064704</v>
      </c>
      <c r="C48" s="41">
        <v>22.001000000000001</v>
      </c>
      <c r="D48" s="41">
        <f>Calculator!$D$7/Calculator!$D$6/Calculator!$C$27*1000/2/PI()</f>
        <v>0.42328442311674291</v>
      </c>
      <c r="E48" s="41">
        <f t="shared" si="5"/>
        <v>4.9735919716217296</v>
      </c>
      <c r="F48" s="41">
        <f t="shared" si="6"/>
        <v>265.25823848649225</v>
      </c>
      <c r="G48" s="41">
        <f>IF(Calculator!$C$35&lt;0.5,Calculator!$C$23/4/Calculator!$C$35*(1-SQRT(1-4*Calculator!$C$35^2)),Calculator!$C$23/2)</f>
        <v>58.289836315045932</v>
      </c>
      <c r="H48" s="41">
        <f>G48*2*PI()*Calculator!$C$25*0.01*Calculator!$D$7/Calculator!$D$6/(1-Calculator!$C$25*Calculator!$C$27*0.00001*(G48*2*PI())^2)</f>
        <v>-7.2681240073636131E-3</v>
      </c>
      <c r="I48" s="41">
        <f t="shared" si="10"/>
        <v>38.177166274078203</v>
      </c>
      <c r="J48" s="41">
        <f t="shared" si="8"/>
        <v>1.4344468431833539</v>
      </c>
      <c r="K48" s="41">
        <f>20*LOG10(1/Calculator!$D$7*1525000*(1+A48/E48)/(1+A48/D48)/(1+A48/G48)/2/PI()/A48/1000/(1+A48/F48))</f>
        <v>-24.597991234118002</v>
      </c>
      <c r="L48" s="41">
        <f t="shared" si="11"/>
        <v>-62.760945321694805</v>
      </c>
    </row>
    <row r="49" spans="1:12" x14ac:dyDescent="0.3">
      <c r="A49">
        <v>90</v>
      </c>
      <c r="B49" s="41">
        <f>Calculator!$C$36</f>
        <v>13.770853232064704</v>
      </c>
      <c r="C49" s="41">
        <v>23.001000000000001</v>
      </c>
      <c r="D49" s="41">
        <f>Calculator!$D$7/Calculator!$D$6/Calculator!$C$27*1000/2/PI()</f>
        <v>0.42328442311674291</v>
      </c>
      <c r="E49" s="41">
        <f t="shared" si="5"/>
        <v>4.9735919716217296</v>
      </c>
      <c r="F49" s="41">
        <f t="shared" si="6"/>
        <v>265.25823848649225</v>
      </c>
      <c r="G49" s="41">
        <f>IF(Calculator!$C$35&lt;0.5,Calculator!$C$23/4/Calculator!$C$35*(1-SQRT(1-4*Calculator!$C$35^2)),Calculator!$C$23/2)</f>
        <v>58.289836315045932</v>
      </c>
      <c r="H49" s="41">
        <f>G49*2*PI()*Calculator!$C$25*0.01*Calculator!$D$7/Calculator!$D$6/(1-Calculator!$C$25*Calculator!$C$27*0.00001*(G49*2*PI())^2)</f>
        <v>-7.2681240073636131E-3</v>
      </c>
      <c r="I49" s="41">
        <f t="shared" si="10"/>
        <v>38.177166274078203</v>
      </c>
      <c r="J49" s="41">
        <f t="shared" si="8"/>
        <v>1.4344468431833539</v>
      </c>
      <c r="K49" s="41">
        <f>20*LOG10(1/Calculator!$D$7*1525000*(1+A49/E49)/(1+A49/D49)/(1+A49/G49)/2/PI()/A49/1000/(1+A49/F49))</f>
        <v>-26.527058014357138</v>
      </c>
      <c r="L49" s="41">
        <f t="shared" si="11"/>
        <v>-73.761208501930753</v>
      </c>
    </row>
    <row r="50" spans="1:12" x14ac:dyDescent="0.3">
      <c r="A50">
        <v>100</v>
      </c>
      <c r="B50" s="41">
        <f>Calculator!$C$36</f>
        <v>13.770853232064704</v>
      </c>
      <c r="C50" s="41">
        <v>24.001000000000001</v>
      </c>
      <c r="D50" s="41">
        <f>Calculator!$D$7/Calculator!$D$6/Calculator!$C$27*1000/2/PI()</f>
        <v>0.42328442311674291</v>
      </c>
      <c r="E50" s="41">
        <f t="shared" si="5"/>
        <v>4.9735919716217296</v>
      </c>
      <c r="F50" s="41">
        <f t="shared" si="6"/>
        <v>265.25823848649225</v>
      </c>
      <c r="G50" s="41">
        <f>IF(Calculator!$C$35&lt;0.5,Calculator!$C$23/4/Calculator!$C$35*(1-SQRT(1-4*Calculator!$C$35^2)),Calculator!$C$23/2)</f>
        <v>58.289836315045932</v>
      </c>
      <c r="H50" s="41">
        <f>G50*2*PI()*Calculator!$C$25*0.01*Calculator!$D$7/Calculator!$D$6/(1-Calculator!$C$25*Calculator!$C$27*0.00001*(G50*2*PI())^2)</f>
        <v>-7.2681240073636131E-3</v>
      </c>
      <c r="I50" s="41">
        <f t="shared" si="10"/>
        <v>38.177166274078203</v>
      </c>
      <c r="J50" s="41">
        <f t="shared" si="8"/>
        <v>1.4344468431833539</v>
      </c>
      <c r="K50" s="41">
        <f>20*LOG10(1/Calculator!$D$7*1525000*(1+A50/E50)/(1+A50/D50)/(1+A50/G50)/2/PI()/A50/1000/(1+A50/F50))</f>
        <v>-28.291696935459456</v>
      </c>
      <c r="L50" s="41">
        <f t="shared" si="11"/>
        <v>-81.649349743688248</v>
      </c>
    </row>
    <row r="51" spans="1:12" x14ac:dyDescent="0.3">
      <c r="A51">
        <v>120</v>
      </c>
      <c r="B51" s="41">
        <f>Calculator!$C$36</f>
        <v>13.770853232064704</v>
      </c>
      <c r="C51" s="41">
        <v>25.001000000000001</v>
      </c>
      <c r="D51" s="41">
        <f>Calculator!$D$7/Calculator!$D$6/Calculator!$C$27*1000/2/PI()</f>
        <v>0.42328442311674291</v>
      </c>
      <c r="E51" s="41">
        <f t="shared" si="5"/>
        <v>4.9735919716217296</v>
      </c>
      <c r="F51" s="41">
        <f t="shared" si="6"/>
        <v>265.25823848649225</v>
      </c>
      <c r="G51" s="41">
        <f>IF(Calculator!$C$35&lt;0.5,Calculator!$C$23/4/Calculator!$C$35*(1-SQRT(1-4*Calculator!$C$35^2)),Calculator!$C$23/2)</f>
        <v>58.289836315045932</v>
      </c>
      <c r="H51" s="41">
        <f>G51*2*PI()*Calculator!$C$25*0.01*Calculator!$D$7/Calculator!$D$6/(1-Calculator!$C$25*Calculator!$C$27*0.00001*(G51*2*PI())^2)</f>
        <v>-7.2681240073636131E-3</v>
      </c>
      <c r="I51" s="41">
        <f t="shared" si="10"/>
        <v>38.177166274078203</v>
      </c>
      <c r="J51" s="41">
        <f t="shared" si="8"/>
        <v>1.4344468431833539</v>
      </c>
      <c r="K51" s="41">
        <f>20*LOG10(1/Calculator!$D$7*1525000*(1+A51/E51)/(1+A51/D51)/(1+A51/G51)/2/PI()/A51/1000/(1+A51/F51))</f>
        <v>-31.434588314985294</v>
      </c>
      <c r="L51" s="41">
        <f t="shared" si="11"/>
        <v>-92.609500232859631</v>
      </c>
    </row>
    <row r="52" spans="1:12" x14ac:dyDescent="0.3">
      <c r="A52">
        <v>150</v>
      </c>
      <c r="B52" s="41">
        <f>Calculator!$C$36</f>
        <v>13.770853232064704</v>
      </c>
      <c r="C52" s="41">
        <v>26.001000000000001</v>
      </c>
      <c r="D52" s="41">
        <f>Calculator!$D$7/Calculator!$D$6/Calculator!$C$27*1000/2/PI()</f>
        <v>0.42328442311674291</v>
      </c>
      <c r="E52" s="41">
        <f t="shared" si="5"/>
        <v>4.9735919716217296</v>
      </c>
      <c r="F52" s="41">
        <f t="shared" si="6"/>
        <v>265.25823848649225</v>
      </c>
      <c r="G52" s="41">
        <f>IF(Calculator!$C$35&lt;0.5,Calculator!$C$23/4/Calculator!$C$35*(1-SQRT(1-4*Calculator!$C$35^2)),Calculator!$C$23/2)</f>
        <v>58.289836315045932</v>
      </c>
      <c r="H52" s="41">
        <f>G52*2*PI()*Calculator!$C$25*0.01*Calculator!$D$7/Calculator!$D$6/(1-Calculator!$C$25*Calculator!$C$27*0.00001*(G52*2*PI())^2)</f>
        <v>-7.2681240073636131E-3</v>
      </c>
      <c r="I52" s="41">
        <f t="shared" si="10"/>
        <v>38.177166274078203</v>
      </c>
      <c r="J52" s="41">
        <f t="shared" si="8"/>
        <v>1.4344468431833539</v>
      </c>
      <c r="K52" s="41">
        <f>20*LOG10(1/Calculator!$D$7*1525000*(1+A52/E52)/(1+A52/D52)/(1+A52/G52)/2/PI()/A52/1000/(1+A52/F52))</f>
        <v>-35.438247925324362</v>
      </c>
      <c r="L52" s="41">
        <f t="shared" si="11"/>
        <v>-103.52757782203707</v>
      </c>
    </row>
    <row r="53" spans="1:12" x14ac:dyDescent="0.3">
      <c r="A53">
        <v>180</v>
      </c>
      <c r="B53" s="41">
        <f>Calculator!$C$36</f>
        <v>13.770853232064704</v>
      </c>
      <c r="C53" s="41">
        <v>27.001000000000001</v>
      </c>
      <c r="D53" s="41">
        <f>Calculator!$D$7/Calculator!$D$6/Calculator!$C$27*1000/2/PI()</f>
        <v>0.42328442311674291</v>
      </c>
      <c r="E53" s="41">
        <f t="shared" si="5"/>
        <v>4.9735919716217296</v>
      </c>
      <c r="F53" s="41">
        <f t="shared" si="6"/>
        <v>265.25823848649225</v>
      </c>
      <c r="G53" s="41">
        <f>IF(Calculator!$C$35&lt;0.5,Calculator!$C$23/4/Calculator!$C$35*(1-SQRT(1-4*Calculator!$C$35^2)),Calculator!$C$23/2)</f>
        <v>58.289836315045932</v>
      </c>
      <c r="H53" s="41">
        <f>G53*2*PI()*Calculator!$C$25*0.01*Calculator!$D$7/Calculator!$D$6/(1-Calculator!$C$25*Calculator!$C$27*0.00001*(G53*2*PI())^2)</f>
        <v>-7.2681240073636131E-3</v>
      </c>
      <c r="I53" s="41">
        <f t="shared" si="10"/>
        <v>38.177166274078203</v>
      </c>
      <c r="J53" s="41">
        <f t="shared" si="8"/>
        <v>1.4344468431833539</v>
      </c>
      <c r="K53" s="41">
        <f>20*LOG10(1/Calculator!$D$7*1525000*(1+A53/E53)/(1+A53/D53)/(1+A53/G53)/2/PI()/A53/1000/(1+A53/F53))</f>
        <v>-38.839005510188287</v>
      </c>
      <c r="L53" s="41">
        <f t="shared" si="11"/>
        <v>-111.4532683526073</v>
      </c>
    </row>
    <row r="54" spans="1:12" x14ac:dyDescent="0.3">
      <c r="A54">
        <v>200</v>
      </c>
      <c r="B54" s="41">
        <f>Calculator!$C$36</f>
        <v>13.770853232064704</v>
      </c>
      <c r="C54" s="41">
        <v>28.001000000000001</v>
      </c>
      <c r="D54" s="41">
        <f>Calculator!$D$7/Calculator!$D$6/Calculator!$C$27*1000/2/PI()</f>
        <v>0.42328442311674291</v>
      </c>
      <c r="E54" s="41">
        <f t="shared" si="5"/>
        <v>4.9735919716217296</v>
      </c>
      <c r="F54" s="41">
        <f t="shared" si="6"/>
        <v>265.25823848649225</v>
      </c>
      <c r="G54" s="41">
        <f>IF(Calculator!$C$35&lt;0.5,Calculator!$C$23/4/Calculator!$C$35*(1-SQRT(1-4*Calculator!$C$35^2)),Calculator!$C$23/2)</f>
        <v>58.289836315045932</v>
      </c>
      <c r="H54" s="41">
        <f>G54*2*PI()*Calculator!$C$25*0.01*Calculator!$D$7/Calculator!$D$6/(1-Calculator!$C$25*Calculator!$C$27*0.00001*(G54*2*PI())^2)</f>
        <v>-7.2681240073636131E-3</v>
      </c>
      <c r="I54" s="41">
        <f t="shared" si="10"/>
        <v>38.177166274078203</v>
      </c>
      <c r="J54" s="41">
        <f t="shared" si="8"/>
        <v>1.4344468431833539</v>
      </c>
      <c r="K54" s="41">
        <f>20*LOG10(1/Calculator!$D$7*1525000*(1+A54/E54)/(1+A54/D54)/(1+A54/G54)/2/PI()/A54/1000/(1+A54/F54))</f>
        <v>-40.857181622775222</v>
      </c>
      <c r="L54" s="41">
        <f t="shared" si="11"/>
        <v>-115.8000926277181</v>
      </c>
    </row>
    <row r="55" spans="1:12" x14ac:dyDescent="0.3">
      <c r="A55">
        <v>250</v>
      </c>
      <c r="B55" s="41">
        <f>Calculator!$C$36</f>
        <v>13.770853232064704</v>
      </c>
      <c r="C55" s="41">
        <v>29.001000000000001</v>
      </c>
      <c r="D55" s="41">
        <f>Calculator!$D$7/Calculator!$D$6/Calculator!$C$27*1000/2/PI()</f>
        <v>0.42328442311674291</v>
      </c>
      <c r="E55" s="41">
        <f t="shared" si="5"/>
        <v>4.9735919716217296</v>
      </c>
      <c r="F55" s="41">
        <f t="shared" si="6"/>
        <v>265.25823848649225</v>
      </c>
      <c r="G55" s="41">
        <f>IF(Calculator!$C$35&lt;0.5,Calculator!$C$23/4/Calculator!$C$35*(1-SQRT(1-4*Calculator!$C$35^2)),Calculator!$C$23/2)</f>
        <v>58.289836315045932</v>
      </c>
      <c r="H55" s="41">
        <f>G55*2*PI()*Calculator!$C$25*0.01*Calculator!$D$7/Calculator!$D$6/(1-Calculator!$C$25*Calculator!$C$27*0.00001*(G55*2*PI())^2)</f>
        <v>-7.2681240073636131E-3</v>
      </c>
      <c r="I55" s="41">
        <f t="shared" si="10"/>
        <v>38.177166274078203</v>
      </c>
      <c r="J55" s="41">
        <f t="shared" si="8"/>
        <v>1.4344468431833539</v>
      </c>
      <c r="K55" s="41">
        <f>20*LOG10(1/Calculator!$D$7*1525000*(1+A55/E55)/(1+A55/D55)/(1+A55/G55)/2/PI()/A55/1000/(1+A55/F55))</f>
        <v>-45.257621973153022</v>
      </c>
      <c r="L55" s="41">
        <f t="shared" si="11"/>
        <v>-124.593395753474</v>
      </c>
    </row>
    <row r="56" spans="1:12" x14ac:dyDescent="0.3">
      <c r="A56">
        <v>300</v>
      </c>
      <c r="B56" s="41">
        <f>Calculator!$C$36</f>
        <v>13.770853232064704</v>
      </c>
      <c r="C56" s="41">
        <v>30.001000000000001</v>
      </c>
      <c r="D56" s="41">
        <f>Calculator!$D$7/Calculator!$D$6/Calculator!$C$27*1000/2/PI()</f>
        <v>0.42328442311674291</v>
      </c>
      <c r="E56" s="41">
        <f t="shared" si="5"/>
        <v>4.9735919716217296</v>
      </c>
      <c r="F56" s="41">
        <f t="shared" si="6"/>
        <v>265.25823848649225</v>
      </c>
      <c r="G56" s="41">
        <f>IF(Calculator!$C$35&lt;0.5,Calculator!$C$23/4/Calculator!$C$35*(1-SQRT(1-4*Calculator!$C$35^2)),Calculator!$C$23/2)</f>
        <v>58.289836315045932</v>
      </c>
      <c r="H56" s="41">
        <f>G56*2*PI()*Calculator!$C$25*0.01*Calculator!$D$7/Calculator!$D$6/(1-Calculator!$C$25*Calculator!$C$27*0.00001*(G56*2*PI())^2)</f>
        <v>-7.2681240073636131E-3</v>
      </c>
      <c r="I56" s="41">
        <f t="shared" si="10"/>
        <v>38.177166274078203</v>
      </c>
      <c r="J56" s="41">
        <f t="shared" si="8"/>
        <v>1.4344468431833539</v>
      </c>
      <c r="K56" s="41">
        <f>20*LOG10(1/Calculator!$D$7*1525000*(1+A56/E56)/(1+A56/D56)/(1+A56/G56)/2/PI()/A56/1000/(1+A56/F56))</f>
        <v>-48.977028646760452</v>
      </c>
      <c r="L56" s="41">
        <f t="shared" si="11"/>
        <v>-131.37333700630469</v>
      </c>
    </row>
    <row r="57" spans="1:12" x14ac:dyDescent="0.3">
      <c r="A57">
        <v>350</v>
      </c>
      <c r="B57" s="41">
        <f>Calculator!$C$36</f>
        <v>13.770853232064704</v>
      </c>
      <c r="C57" s="41">
        <v>31.001000000000001</v>
      </c>
      <c r="D57" s="41">
        <f>Calculator!$D$7/Calculator!$D$6/Calculator!$C$27*1000/2/PI()</f>
        <v>0.42328442311674291</v>
      </c>
      <c r="E57" s="41">
        <f t="shared" si="5"/>
        <v>4.9735919716217296</v>
      </c>
      <c r="F57" s="41">
        <f t="shared" si="6"/>
        <v>265.25823848649225</v>
      </c>
      <c r="G57" s="41">
        <f>IF(Calculator!$C$35&lt;0.5,Calculator!$C$23/4/Calculator!$C$35*(1-SQRT(1-4*Calculator!$C$35^2)),Calculator!$C$23/2)</f>
        <v>58.289836315045932</v>
      </c>
      <c r="H57" s="41">
        <f>G57*2*PI()*Calculator!$C$25*0.01*Calculator!$D$7/Calculator!$D$6/(1-Calculator!$C$25*Calculator!$C$27*0.00001*(G57*2*PI())^2)</f>
        <v>-7.2681240073636131E-3</v>
      </c>
      <c r="I57" s="41">
        <f t="shared" si="10"/>
        <v>38.177166274078203</v>
      </c>
      <c r="J57" s="41">
        <f t="shared" si="8"/>
        <v>1.4344468431833539</v>
      </c>
      <c r="K57" s="41">
        <f>20*LOG10(1/Calculator!$D$7*1525000*(1+A57/E57)/(1+A57/D57)/(1+A57/G57)/2/PI()/A57/1000/(1+A57/F57))</f>
        <v>-52.205367901268787</v>
      </c>
      <c r="L57" s="41">
        <f t="shared" si="11"/>
        <v>-136.77736679496459</v>
      </c>
    </row>
    <row r="58" spans="1:12" x14ac:dyDescent="0.3">
      <c r="A58">
        <v>400</v>
      </c>
      <c r="B58" s="41">
        <f>Calculator!$C$36</f>
        <v>13.770853232064704</v>
      </c>
      <c r="C58" s="41">
        <v>32.000999999999998</v>
      </c>
      <c r="D58" s="41">
        <f>Calculator!$D$7/Calculator!$D$6/Calculator!$C$27*1000/2/PI()</f>
        <v>0.42328442311674291</v>
      </c>
      <c r="E58" s="41">
        <f t="shared" si="5"/>
        <v>4.9735919716217296</v>
      </c>
      <c r="F58" s="41">
        <f t="shared" si="6"/>
        <v>265.25823848649225</v>
      </c>
      <c r="G58" s="41">
        <f>IF(Calculator!$C$35&lt;0.5,Calculator!$C$23/4/Calculator!$C$35*(1-SQRT(1-4*Calculator!$C$35^2)),Calculator!$C$23/2)</f>
        <v>58.289836315045932</v>
      </c>
      <c r="H58" s="41">
        <f>G58*2*PI()*Calculator!$C$25*0.01*Calculator!$D$7/Calculator!$D$6/(1-Calculator!$C$25*Calculator!$C$27*0.00001*(G58*2*PI())^2)</f>
        <v>-7.2681240073636131E-3</v>
      </c>
      <c r="I58" s="41">
        <f t="shared" si="10"/>
        <v>38.177166274078203</v>
      </c>
      <c r="J58" s="41">
        <f t="shared" si="8"/>
        <v>1.4344468431833539</v>
      </c>
      <c r="K58" s="41">
        <f>20*LOG10(1/Calculator!$D$7*1525000*(1+A58/E58)/(1+A58/D58)/(1+A58/G58)/2/PI()/A58/1000/(1+A58/F58))</f>
        <v>-55.061210628323636</v>
      </c>
      <c r="L58" s="41">
        <f t="shared" si="11"/>
        <v>-141.1758621899599</v>
      </c>
    </row>
    <row r="59" spans="1:12" x14ac:dyDescent="0.3">
      <c r="A59">
        <v>450</v>
      </c>
      <c r="B59" s="41">
        <f>Calculator!$C$36</f>
        <v>13.770853232064704</v>
      </c>
      <c r="C59" s="41">
        <v>33.000999999999998</v>
      </c>
      <c r="D59" s="41">
        <f>Calculator!$D$7/Calculator!$D$6/Calculator!$C$27*1000/2/PI()</f>
        <v>0.42328442311674291</v>
      </c>
      <c r="E59" s="41">
        <f t="shared" si="5"/>
        <v>4.9735919716217296</v>
      </c>
      <c r="F59" s="41">
        <f t="shared" si="6"/>
        <v>265.25823848649225</v>
      </c>
      <c r="G59" s="41">
        <f>IF(Calculator!$C$35&lt;0.5,Calculator!$C$23/4/Calculator!$C$35*(1-SQRT(1-4*Calculator!$C$35^2)),Calculator!$C$23/2)</f>
        <v>58.289836315045932</v>
      </c>
      <c r="H59" s="41">
        <f>G59*2*PI()*Calculator!$C$25*0.01*Calculator!$D$7/Calculator!$D$6/(1-Calculator!$C$25*Calculator!$C$27*0.00001*(G59*2*PI())^2)</f>
        <v>-7.2681240073636131E-3</v>
      </c>
      <c r="I59" s="41">
        <f t="shared" si="10"/>
        <v>38.177166274078203</v>
      </c>
      <c r="J59" s="41">
        <f t="shared" si="8"/>
        <v>1.4344468431833539</v>
      </c>
      <c r="K59" s="41">
        <f>20*LOG10(1/Calculator!$D$7*1525000*(1+A59/E59)/(1+A59/D59)/(1+A59/G59)/2/PI()/A59/1000/(1+A59/F59))</f>
        <v>-57.623977700499374</v>
      </c>
      <c r="L59" s="41">
        <f t="shared" si="11"/>
        <v>-144.81409393315141</v>
      </c>
    </row>
    <row r="60" spans="1:12" x14ac:dyDescent="0.3">
      <c r="A60">
        <v>500</v>
      </c>
      <c r="B60" s="41">
        <f>Calculator!$C$36</f>
        <v>13.770853232064704</v>
      </c>
      <c r="C60" s="41">
        <v>34.000999999999998</v>
      </c>
      <c r="D60" s="41">
        <f>Calculator!$D$7/Calculator!$D$6/Calculator!$C$27*1000/2/PI()</f>
        <v>0.42328442311674291</v>
      </c>
      <c r="E60" s="41">
        <f t="shared" si="5"/>
        <v>4.9735919716217296</v>
      </c>
      <c r="F60" s="41">
        <f t="shared" si="6"/>
        <v>265.25823848649225</v>
      </c>
      <c r="G60" s="41">
        <f>IF(Calculator!$C$35&lt;0.5,Calculator!$C$23/4/Calculator!$C$35*(1-SQRT(1-4*Calculator!$C$35^2)),Calculator!$C$23/2)</f>
        <v>58.289836315045932</v>
      </c>
      <c r="H60" s="41">
        <f>G60*2*PI()*Calculator!$C$25*0.01*Calculator!$D$7/Calculator!$D$6/(1-Calculator!$C$25*Calculator!$C$27*0.00001*(G60*2*PI())^2)</f>
        <v>-7.2681240073636131E-3</v>
      </c>
      <c r="I60" s="41">
        <f t="shared" si="10"/>
        <v>38.177166274078203</v>
      </c>
      <c r="J60" s="41">
        <f t="shared" si="8"/>
        <v>1.4344468431833539</v>
      </c>
      <c r="K60" s="41">
        <f>20*LOG10(1/Calculator!$D$7*1525000*(1+A60/E60)/(1+A60/D60)/(1+A60/G60)/2/PI()/A60/1000/(1+A60/F60))</f>
        <v>-59.949680300809483</v>
      </c>
      <c r="L60" s="41">
        <f t="shared" si="11"/>
        <v>-147.86468652826798</v>
      </c>
    </row>
    <row r="61" spans="1:12" x14ac:dyDescent="0.3">
      <c r="A61">
        <v>550</v>
      </c>
      <c r="B61" s="41">
        <f>Calculator!$C$36</f>
        <v>13.770853232064704</v>
      </c>
      <c r="C61" s="41">
        <v>35.000999999999998</v>
      </c>
      <c r="D61" s="41">
        <f>Calculator!$D$7/Calculator!$D$6/Calculator!$C$27*1000/2/PI()</f>
        <v>0.42328442311674291</v>
      </c>
      <c r="E61" s="41">
        <f t="shared" si="5"/>
        <v>4.9735919716217296</v>
      </c>
      <c r="F61" s="41">
        <f t="shared" si="6"/>
        <v>265.25823848649225</v>
      </c>
      <c r="G61" s="41">
        <f>IF(Calculator!$C$35&lt;0.5,Calculator!$C$23/4/Calculator!$C$35*(1-SQRT(1-4*Calculator!$C$35^2)),Calculator!$C$23/2)</f>
        <v>58.289836315045932</v>
      </c>
      <c r="H61" s="41">
        <f>G61*2*PI()*Calculator!$C$25*0.01*Calculator!$D$7/Calculator!$D$6/(1-Calculator!$C$25*Calculator!$C$27*0.00001*(G61*2*PI())^2)</f>
        <v>-7.2681240073636131E-3</v>
      </c>
      <c r="I61" s="41">
        <f t="shared" si="10"/>
        <v>38.177166274078203</v>
      </c>
      <c r="J61" s="41">
        <f t="shared" si="8"/>
        <v>1.4344468431833539</v>
      </c>
      <c r="K61" s="41">
        <f>20*LOG10(1/Calculator!$D$7*1525000*(1+A61/E61)/(1+A61/D61)/(1+A61/G61)/2/PI()/A61/1000/(1+A61/F61))</f>
        <v>-62.079407170544847</v>
      </c>
      <c r="L61" s="41">
        <f t="shared" si="11"/>
        <v>-150.45322678594874</v>
      </c>
    </row>
    <row r="62" spans="1:12" x14ac:dyDescent="0.3">
      <c r="A62">
        <v>600</v>
      </c>
      <c r="B62" s="41">
        <f>Calculator!$C$36</f>
        <v>13.770853232064704</v>
      </c>
      <c r="C62" s="41">
        <v>36.000999999999998</v>
      </c>
      <c r="D62" s="41">
        <f>Calculator!$D$7/Calculator!$D$6/Calculator!$C$27*1000/2/PI()</f>
        <v>0.42328442311674291</v>
      </c>
      <c r="E62" s="41">
        <f t="shared" si="5"/>
        <v>4.9735919716217296</v>
      </c>
      <c r="F62" s="41">
        <f t="shared" si="6"/>
        <v>265.25823848649225</v>
      </c>
      <c r="G62" s="41">
        <f>IF(Calculator!$C$35&lt;0.5,Calculator!$C$23/4/Calculator!$C$35*(1-SQRT(1-4*Calculator!$C$35^2)),Calculator!$C$23/2)</f>
        <v>58.289836315045932</v>
      </c>
      <c r="H62" s="41">
        <f>G62*2*PI()*Calculator!$C$25*0.01*Calculator!$D$7/Calculator!$D$6/(1-Calculator!$C$25*Calculator!$C$27*0.00001*(G62*2*PI())^2)</f>
        <v>-7.2681240073636131E-3</v>
      </c>
      <c r="I62" s="41">
        <f t="shared" si="10"/>
        <v>38.177166274078203</v>
      </c>
      <c r="J62" s="41">
        <f t="shared" si="8"/>
        <v>1.4344468431833539</v>
      </c>
      <c r="K62" s="41">
        <f>20*LOG10(1/Calculator!$D$7*1525000*(1+A62/E62)/(1+A62/D62)/(1+A62/G62)/2/PI()/A62/1000/(1+A62/F62))</f>
        <v>-64.044253700442482</v>
      </c>
      <c r="L62" s="41">
        <f t="shared" si="11"/>
        <v>-152.6731158062733</v>
      </c>
    </row>
    <row r="63" spans="1:12" x14ac:dyDescent="0.3">
      <c r="A63">
        <v>700</v>
      </c>
      <c r="B63" s="41">
        <f>Calculator!$C$36</f>
        <v>13.770853232064704</v>
      </c>
      <c r="C63" s="41">
        <v>37.000999999999998</v>
      </c>
      <c r="D63" s="41">
        <f>Calculator!$D$7/Calculator!$D$6/Calculator!$C$27*1000/2/PI()</f>
        <v>0.42328442311674291</v>
      </c>
      <c r="E63" s="41">
        <f t="shared" si="5"/>
        <v>4.9735919716217296</v>
      </c>
      <c r="F63" s="41">
        <f t="shared" si="6"/>
        <v>265.25823848649225</v>
      </c>
      <c r="G63" s="41">
        <f>IF(Calculator!$C$35&lt;0.5,Calculator!$C$23/4/Calculator!$C$35*(1-SQRT(1-4*Calculator!$C$35^2)),Calculator!$C$23/2)</f>
        <v>58.289836315045932</v>
      </c>
      <c r="H63" s="41">
        <f>G63*2*PI()*Calculator!$C$25*0.01*Calculator!$D$7/Calculator!$D$6/(1-Calculator!$C$25*Calculator!$C$27*0.00001*(G63*2*PI())^2)</f>
        <v>-7.2681240073636131E-3</v>
      </c>
      <c r="I63" s="41">
        <f t="shared" si="10"/>
        <v>38.177166274078203</v>
      </c>
      <c r="J63" s="41">
        <f t="shared" si="8"/>
        <v>1.4344468431833539</v>
      </c>
      <c r="K63" s="41">
        <f>20*LOG10(1/Calculator!$D$7*1525000*(1+A63/E63)/(1+A63/D63)/(1+A63/G63)/2/PI()/A63/1000/(1+A63/F63))</f>
        <v>-67.570839031880737</v>
      </c>
      <c r="L63" s="41">
        <f t="shared" si="11"/>
        <v>-156.27322237200974</v>
      </c>
    </row>
    <row r="64" spans="1:12" x14ac:dyDescent="0.3">
      <c r="A64">
        <v>800</v>
      </c>
      <c r="B64" s="41">
        <f>Calculator!$C$36</f>
        <v>13.770853232064704</v>
      </c>
      <c r="C64" s="41">
        <v>38.000999999999998</v>
      </c>
      <c r="D64" s="41">
        <f>Calculator!$D$7/Calculator!$D$6/Calculator!$C$27*1000/2/PI()</f>
        <v>0.42328442311674291</v>
      </c>
      <c r="E64" s="41">
        <f t="shared" si="5"/>
        <v>4.9735919716217296</v>
      </c>
      <c r="F64" s="41">
        <f t="shared" si="6"/>
        <v>265.25823848649225</v>
      </c>
      <c r="G64" s="41">
        <f>IF(Calculator!$C$35&lt;0.5,Calculator!$C$23/4/Calculator!$C$35*(1-SQRT(1-4*Calculator!$C$35^2)),Calculator!$C$23/2)</f>
        <v>58.289836315045932</v>
      </c>
      <c r="H64" s="41">
        <f>G64*2*PI()*Calculator!$C$25*0.01*Calculator!$D$7/Calculator!$D$6/(1-Calculator!$C$25*Calculator!$C$27*0.00001*(G64*2*PI())^2)</f>
        <v>-7.2681240073636131E-3</v>
      </c>
      <c r="I64" s="41">
        <f t="shared" si="10"/>
        <v>38.177166274078203</v>
      </c>
      <c r="J64" s="41">
        <f t="shared" si="8"/>
        <v>1.4344468431833539</v>
      </c>
      <c r="K64" s="41">
        <f>20*LOG10(1/Calculator!$D$7*1525000*(1+A64/E64)/(1+A64/D64)/(1+A64/G64)/2/PI()/A64/1000/(1+A64/F64))</f>
        <v>-70.669887447940539</v>
      </c>
      <c r="L64" s="41">
        <f t="shared" si="11"/>
        <v>-159.05845469243164</v>
      </c>
    </row>
    <row r="65" spans="1:12" x14ac:dyDescent="0.3">
      <c r="A65">
        <v>900</v>
      </c>
      <c r="B65" s="41">
        <f>Calculator!$C$36</f>
        <v>13.770853232064704</v>
      </c>
      <c r="C65" s="41">
        <v>39.000999999999998</v>
      </c>
      <c r="D65" s="41">
        <f>Calculator!$D$7/Calculator!$D$6/Calculator!$C$27*1000/2/PI()</f>
        <v>0.42328442311674291</v>
      </c>
      <c r="E65" s="41">
        <f t="shared" si="5"/>
        <v>4.9735919716217296</v>
      </c>
      <c r="F65" s="41">
        <f t="shared" si="6"/>
        <v>265.25823848649225</v>
      </c>
      <c r="G65" s="41">
        <f>IF(Calculator!$C$35&lt;0.5,Calculator!$C$23/4/Calculator!$C$35*(1-SQRT(1-4*Calculator!$C$35^2)),Calculator!$C$23/2)</f>
        <v>58.289836315045932</v>
      </c>
      <c r="H65" s="41">
        <f>G65*2*PI()*Calculator!$C$25*0.01*Calculator!$D$7/Calculator!$D$6/(1-Calculator!$C$25*Calculator!$C$27*0.00001*(G65*2*PI())^2)</f>
        <v>-7.2681240073636131E-3</v>
      </c>
      <c r="I65" s="41">
        <f t="shared" si="10"/>
        <v>38.177166274078203</v>
      </c>
      <c r="J65" s="41">
        <f t="shared" si="8"/>
        <v>1.4344468431833539</v>
      </c>
      <c r="K65" s="41">
        <f>20*LOG10(1/Calculator!$D$7*1525000*(1+A65/E65)/(1+A65/D65)/(1+A65/G65)/2/PI()/A65/1000/(1+A65/F65))</f>
        <v>-73.434996354341138</v>
      </c>
      <c r="L65" s="41">
        <f t="shared" si="11"/>
        <v>-161.27170707633641</v>
      </c>
    </row>
    <row r="66" spans="1:12" x14ac:dyDescent="0.3">
      <c r="A66">
        <v>1000</v>
      </c>
      <c r="B66" s="41">
        <f>Calculator!$C$36</f>
        <v>13.770853232064704</v>
      </c>
      <c r="C66" s="41">
        <v>40.000999999999998</v>
      </c>
      <c r="D66" s="41">
        <f>Calculator!$D$7/Calculator!$D$6/Calculator!$C$27*1000/2/PI()</f>
        <v>0.42328442311674291</v>
      </c>
      <c r="E66" s="41">
        <f t="shared" si="5"/>
        <v>4.9735919716217296</v>
      </c>
      <c r="F66" s="41">
        <f t="shared" si="6"/>
        <v>265.25823848649225</v>
      </c>
      <c r="G66" s="41">
        <f>IF(Calculator!$C$35&lt;0.5,Calculator!$C$23/4/Calculator!$C$35*(1-SQRT(1-4*Calculator!$C$35^2)),Calculator!$C$23/2)</f>
        <v>58.289836315045932</v>
      </c>
      <c r="H66" s="41">
        <f>G66*2*PI()*Calculator!$C$25*0.01*Calculator!$D$7/Calculator!$D$6/(1-Calculator!$C$25*Calculator!$C$27*0.00001*(G66*2*PI())^2)</f>
        <v>-7.2681240073636131E-3</v>
      </c>
      <c r="I66" s="41">
        <f t="shared" si="10"/>
        <v>38.177166274078203</v>
      </c>
      <c r="J66" s="41">
        <f t="shared" si="8"/>
        <v>1.4344468431833539</v>
      </c>
      <c r="K66" s="41">
        <f>20*LOG10(1/Calculator!$D$7*1525000*(1+A66/E66)/(1+A66/D66)/(1+A66/G66)/2/PI()/A66/1000/(1+A66/F66))</f>
        <v>-75.931807475036479</v>
      </c>
      <c r="L66" s="41">
        <f t="shared" si="11"/>
        <v>-163.06975798021571</v>
      </c>
    </row>
  </sheetData>
  <sheetProtection algorithmName="SHA-512" hashValue="++dEup7N3jDgBrZdgDBZvuEjhG95RW3QO2LgJiIrJ2+F5iDiDU2uZ6mHU7KB6IJ1onkMGb1k5T2aDF8yXCRPFA==" saltValue="8gmix8MTDscjZRvRqnRToA==" spinCount="100000" sheet="1" objects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595823f-34ba-4026-9891-04654f989084">
      <Terms xmlns="http://schemas.microsoft.com/office/infopath/2007/PartnerControls"/>
    </lcf76f155ced4ddcb4097134ff3c332f>
    <TaxCatchAll xmlns="58c999a7-e19f-4a00-b0b9-4dd207d1489a" xsi:nil="true"/>
    <_Flow_SignoffStatus xmlns="e595823f-34ba-4026-9891-04654f98908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D18DA7D6EE4EA498B26500519B57234" ma:contentTypeVersion="17" ma:contentTypeDescription="Creare un nuovo documento." ma:contentTypeScope="" ma:versionID="4016ae47e31313e1d890b48078ce0f1e">
  <xsd:schema xmlns:xsd="http://www.w3.org/2001/XMLSchema" xmlns:xs="http://www.w3.org/2001/XMLSchema" xmlns:p="http://schemas.microsoft.com/office/2006/metadata/properties" xmlns:ns2="e595823f-34ba-4026-9891-04654f989084" xmlns:ns3="58c999a7-e19f-4a00-b0b9-4dd207d1489a" targetNamespace="http://schemas.microsoft.com/office/2006/metadata/properties" ma:root="true" ma:fieldsID="ee88a60727f500d3142ebb13b72aabd7" ns2:_="" ns3:_="">
    <xsd:import namespace="e595823f-34ba-4026-9891-04654f989084"/>
    <xsd:import namespace="58c999a7-e19f-4a00-b0b9-4dd207d148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_Flow_SignoffStatu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95823f-34ba-4026-9891-04654f9890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aaa569b8-74cc-4d4e-a3e1-28a95f11a9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Flow_SignoffStatus" ma:index="23" nillable="true" ma:displayName="Sign-off status" ma:internalName="Sign_x002d_off_x0020_status">
      <xsd:simpleType>
        <xsd:restriction base="dms:Text"/>
      </xsd:simpleType>
    </xsd:element>
    <xsd:element name="MediaServiceDateTaken" ma:index="24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c999a7-e19f-4a00-b0b9-4dd207d1489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9f6c0ce9-f966-4e2e-a6fe-c73a96e48e3d}" ma:internalName="TaxCatchAll" ma:showField="CatchAllData" ma:web="58c999a7-e19f-4a00-b0b9-4dd207d148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76EFE68-2C6B-4356-86C7-F2C1338583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B481E75-60EF-4F82-BEFD-05F684539710}">
  <ds:schemaRefs>
    <ds:schemaRef ds:uri="http://schemas.microsoft.com/office/2006/metadata/properties"/>
    <ds:schemaRef ds:uri="http://schemas.microsoft.com/office/infopath/2007/PartnerControls"/>
    <ds:schemaRef ds:uri="e595823f-34ba-4026-9891-04654f989084"/>
    <ds:schemaRef ds:uri="58c999a7-e19f-4a00-b0b9-4dd207d1489a"/>
  </ds:schemaRefs>
</ds:datastoreItem>
</file>

<file path=customXml/itemProps3.xml><?xml version="1.0" encoding="utf-8"?>
<ds:datastoreItem xmlns:ds="http://schemas.openxmlformats.org/officeDocument/2006/customXml" ds:itemID="{84225F26-5785-43AD-9B9A-07D5829F37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595823f-34ba-4026-9891-04654f989084"/>
    <ds:schemaRef ds:uri="58c999a7-e19f-4a00-b0b9-4dd207d1489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Calculator</vt:lpstr>
      <vt:lpstr>Parameters</vt:lpstr>
      <vt:lpstr>LoopGain</vt:lpstr>
    </vt:vector>
  </TitlesOfParts>
  <Manager/>
  <Company>Allegro MicroSystems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Gadgil, Sarang</dc:creator>
  <cp:keywords/>
  <dc:description/>
  <cp:lastModifiedBy>Dago, Alessandro</cp:lastModifiedBy>
  <cp:revision/>
  <dcterms:created xsi:type="dcterms:W3CDTF">2024-01-08T09:24:09Z</dcterms:created>
  <dcterms:modified xsi:type="dcterms:W3CDTF">2025-07-07T08:32:08Z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0x010100BD18DA7D6EE4EA498B26500519B57234</vt:lpwstr>
  </property>
  <property fmtid="{D5CDD505-2E9C-101B-9397-08002B2CF9AE}" pid="3" name="MediaServiceImageTags">
    <vt:lpwstr/>
  </property>
  <property fmtid="{D5CDD505-2E9C-101B-9397-08002B2CF9AE}" pid="4" name="MSIP_Label_8be90b9b-908a-44de-b6f6-04d04c4be533_Enabled">
    <vt:lpwstr>true</vt:lpwstr>
  </property>
  <property fmtid="{D5CDD505-2E9C-101B-9397-08002B2CF9AE}" pid="5" name="MSIP_Label_8be90b9b-908a-44de-b6f6-04d04c4be533_SetDate">
    <vt:lpwstr>2025-05-12T15:42:24Z</vt:lpwstr>
  </property>
  <property fmtid="{D5CDD505-2E9C-101B-9397-08002B2CF9AE}" pid="6" name="MSIP_Label_8be90b9b-908a-44de-b6f6-04d04c4be533_Method">
    <vt:lpwstr>Standard</vt:lpwstr>
  </property>
  <property fmtid="{D5CDD505-2E9C-101B-9397-08002B2CF9AE}" pid="7" name="MSIP_Label_8be90b9b-908a-44de-b6f6-04d04c4be533_Name">
    <vt:lpwstr>Private</vt:lpwstr>
  </property>
  <property fmtid="{D5CDD505-2E9C-101B-9397-08002B2CF9AE}" pid="8" name="MSIP_Label_8be90b9b-908a-44de-b6f6-04d04c4be533_SiteId">
    <vt:lpwstr>64a381f3-c476-46f3-be30-99406d2ef129</vt:lpwstr>
  </property>
  <property fmtid="{D5CDD505-2E9C-101B-9397-08002B2CF9AE}" pid="9" name="MSIP_Label_8be90b9b-908a-44de-b6f6-04d04c4be533_ActionId">
    <vt:lpwstr>a4c4a1d4-7a74-4b54-bdac-a51b17929eeb</vt:lpwstr>
  </property>
  <property fmtid="{D5CDD505-2E9C-101B-9397-08002B2CF9AE}" pid="10" name="MSIP_Label_8be90b9b-908a-44de-b6f6-04d04c4be533_ContentBits">
    <vt:lpwstr>0</vt:lpwstr>
  </property>
  <property fmtid="{D5CDD505-2E9C-101B-9397-08002B2CF9AE}" pid="11" name="MSIP_Label_8be90b9b-908a-44de-b6f6-04d04c4be533_Tag">
    <vt:lpwstr>10, 3, 0, 1</vt:lpwstr>
  </property>
</Properties>
</file>